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45" windowWidth="15135" windowHeight="8130" tabRatio="907" firstSheet="1" activeTab="7"/>
  </bookViews>
  <sheets>
    <sheet name="Sheet1" sheetId="12" state="hidden" r:id="rId1"/>
    <sheet name="ค่าใช้จ่ายบุคคลากรภาครัฐ" sheetId="33" r:id="rId2"/>
    <sheet name="ภาพรวมผลผลิตที่1" sheetId="14" r:id="rId3"/>
    <sheet name="ภาพรวมผลผลิตที่2" sheetId="17" r:id="rId4"/>
    <sheet name="ภาพรวมผลผลิตที่3" sheetId="18" r:id="rId5"/>
    <sheet name="ภาพรวมโครงการ" sheetId="25" r:id="rId6"/>
    <sheet name="ภาพรวม" sheetId="13" r:id="rId7"/>
    <sheet name="ผลการเบิกจ่าย" sheetId="23" r:id="rId8"/>
    <sheet name="Sheet2" sheetId="34" r:id="rId9"/>
    <sheet name="Sheet3" sheetId="35" r:id="rId10"/>
    <sheet name="ผลการใช้จ่าย กนม." sheetId="36" r:id="rId11"/>
  </sheets>
  <externalReferences>
    <externalReference r:id="rId12"/>
  </externalReferences>
  <definedNames>
    <definedName name="_xlnm.Print_Area" localSheetId="7">ผลการเบิกจ่าย!$A$1:$I$65</definedName>
    <definedName name="_xlnm.Print_Area" localSheetId="6">ภาพรวม!$A$1:$M$17</definedName>
  </definedNames>
  <calcPr calcId="125725"/>
</workbook>
</file>

<file path=xl/calcChain.xml><?xml version="1.0" encoding="utf-8"?>
<calcChain xmlns="http://schemas.openxmlformats.org/spreadsheetml/2006/main">
  <c r="O2" i="13"/>
  <c r="N4"/>
  <c r="J6"/>
  <c r="J3"/>
  <c r="J2"/>
  <c r="J13" i="25"/>
  <c r="J8"/>
  <c r="J7"/>
  <c r="J6"/>
  <c r="J15"/>
  <c r="J17"/>
  <c r="J9" i="18"/>
  <c r="J9" i="17"/>
  <c r="J9" i="14"/>
  <c r="I6" i="25"/>
  <c r="I5" s="1"/>
  <c r="I13"/>
  <c r="I12" s="1"/>
  <c r="I15"/>
  <c r="I14" s="1"/>
  <c r="I8"/>
  <c r="I7"/>
  <c r="I3" i="17"/>
  <c r="I9"/>
  <c r="I9" i="14"/>
  <c r="H13" i="25"/>
  <c r="H8"/>
  <c r="H7"/>
  <c r="H6"/>
  <c r="H13" i="18"/>
  <c r="H13" i="17"/>
  <c r="H13" i="14"/>
  <c r="H9"/>
  <c r="D17" i="36"/>
  <c r="D15"/>
  <c r="D8"/>
  <c r="D13"/>
  <c r="D4" s="1"/>
  <c r="B4"/>
  <c r="J5" i="25" l="1"/>
  <c r="E19" i="36"/>
  <c r="C19"/>
  <c r="E18"/>
  <c r="C18"/>
  <c r="E16"/>
  <c r="C15"/>
  <c r="C14"/>
  <c r="C13" s="1"/>
  <c r="E13" s="1"/>
  <c r="C10"/>
  <c r="C9"/>
  <c r="E7"/>
  <c r="E6"/>
  <c r="C6"/>
  <c r="C5" s="1"/>
  <c r="F13" i="35"/>
  <c r="F9"/>
  <c r="F7" s="1"/>
  <c r="F3" s="1"/>
  <c r="M6" s="1"/>
  <c r="F12"/>
  <c r="F8"/>
  <c r="E35"/>
  <c r="E34"/>
  <c r="K18"/>
  <c r="J18"/>
  <c r="I18"/>
  <c r="H18"/>
  <c r="G18"/>
  <c r="F18"/>
  <c r="E18"/>
  <c r="D18"/>
  <c r="C18"/>
  <c r="B18"/>
  <c r="K17"/>
  <c r="K16" s="1"/>
  <c r="J17"/>
  <c r="I17"/>
  <c r="H17"/>
  <c r="H16" s="1"/>
  <c r="G17"/>
  <c r="F17"/>
  <c r="E17"/>
  <c r="D17"/>
  <c r="D16" s="1"/>
  <c r="C17"/>
  <c r="B17"/>
  <c r="J16"/>
  <c r="I16"/>
  <c r="G16"/>
  <c r="F16"/>
  <c r="E16"/>
  <c r="C16"/>
  <c r="B16"/>
  <c r="K15"/>
  <c r="K14" s="1"/>
  <c r="J15"/>
  <c r="I15"/>
  <c r="H15"/>
  <c r="H14" s="1"/>
  <c r="G15"/>
  <c r="G14" s="1"/>
  <c r="E15"/>
  <c r="D15"/>
  <c r="C15"/>
  <c r="B15"/>
  <c r="J14"/>
  <c r="I14"/>
  <c r="F14"/>
  <c r="E14"/>
  <c r="D14"/>
  <c r="C14"/>
  <c r="B14"/>
  <c r="K12"/>
  <c r="H12"/>
  <c r="G12"/>
  <c r="E13"/>
  <c r="D13"/>
  <c r="D12" s="1"/>
  <c r="C13"/>
  <c r="C12" s="1"/>
  <c r="B13"/>
  <c r="J12"/>
  <c r="I12"/>
  <c r="E12"/>
  <c r="B12"/>
  <c r="D11"/>
  <c r="C11"/>
  <c r="B11"/>
  <c r="J7"/>
  <c r="J3" s="1"/>
  <c r="I7"/>
  <c r="I3" s="1"/>
  <c r="E7"/>
  <c r="B7"/>
  <c r="B3" s="1"/>
  <c r="K7"/>
  <c r="H7"/>
  <c r="G7"/>
  <c r="D7"/>
  <c r="C7"/>
  <c r="K6"/>
  <c r="J6"/>
  <c r="I6"/>
  <c r="H6"/>
  <c r="G6"/>
  <c r="D6"/>
  <c r="C6"/>
  <c r="B6"/>
  <c r="K5"/>
  <c r="K4" s="1"/>
  <c r="J5"/>
  <c r="I5"/>
  <c r="H5"/>
  <c r="H4" s="1"/>
  <c r="G5"/>
  <c r="G4" s="1"/>
  <c r="F5"/>
  <c r="D5"/>
  <c r="D4" s="1"/>
  <c r="C5"/>
  <c r="C4" s="1"/>
  <c r="B5"/>
  <c r="J4"/>
  <c r="I4"/>
  <c r="F4"/>
  <c r="E4"/>
  <c r="B4"/>
  <c r="C17" i="36" l="1"/>
  <c r="C8"/>
  <c r="E8" s="1"/>
  <c r="E15"/>
  <c r="E5"/>
  <c r="D3" i="35"/>
  <c r="E3"/>
  <c r="H3"/>
  <c r="C3"/>
  <c r="G3"/>
  <c r="K3"/>
  <c r="C4" i="36" l="1"/>
  <c r="E4" s="1"/>
  <c r="L3" i="35"/>
  <c r="G14" i="13" l="1"/>
  <c r="H14"/>
  <c r="I14"/>
  <c r="I13" s="1"/>
  <c r="J14"/>
  <c r="K14"/>
  <c r="L14"/>
  <c r="M14"/>
  <c r="G5"/>
  <c r="G4"/>
  <c r="G13" i="25"/>
  <c r="G8"/>
  <c r="G7"/>
  <c r="G6"/>
  <c r="G13" i="18"/>
  <c r="G13" i="17"/>
  <c r="G7" i="14"/>
  <c r="G13"/>
  <c r="G9"/>
  <c r="A13" i="34"/>
  <c r="A12"/>
  <c r="A11"/>
  <c r="A10"/>
  <c r="B7"/>
  <c r="G5" i="25" l="1"/>
  <c r="G7" i="13"/>
  <c r="G3"/>
  <c r="A14" i="34"/>
  <c r="C27" i="13" l="1"/>
  <c r="F14"/>
  <c r="F13" s="1"/>
  <c r="F13" i="25"/>
  <c r="F8"/>
  <c r="F7"/>
  <c r="F6"/>
  <c r="F13" i="18"/>
  <c r="F13" i="17"/>
  <c r="F13" i="14"/>
  <c r="F9"/>
  <c r="D14" i="13"/>
  <c r="E14"/>
  <c r="D16"/>
  <c r="E16"/>
  <c r="D12"/>
  <c r="D11" s="1"/>
  <c r="D10"/>
  <c r="E10"/>
  <c r="E4"/>
  <c r="E13" i="25"/>
  <c r="E12" i="13" s="1"/>
  <c r="E11" s="1"/>
  <c r="E6" i="25"/>
  <c r="E7" i="13" s="1"/>
  <c r="D13" i="25"/>
  <c r="E8"/>
  <c r="E9" i="13" s="1"/>
  <c r="D8" i="25"/>
  <c r="D9" i="13" s="1"/>
  <c r="E7" i="25"/>
  <c r="E8" i="13" s="1"/>
  <c r="D7" i="25"/>
  <c r="D8" i="13" s="1"/>
  <c r="D6" i="25"/>
  <c r="D3" i="18"/>
  <c r="D13"/>
  <c r="E13"/>
  <c r="E7"/>
  <c r="D5" i="25" l="1"/>
  <c r="E5"/>
  <c r="E4" s="1"/>
  <c r="D7" i="13"/>
  <c r="D6" s="1"/>
  <c r="E6"/>
  <c r="D3" i="17"/>
  <c r="E13"/>
  <c r="D13"/>
  <c r="E9"/>
  <c r="D9"/>
  <c r="D3" i="14"/>
  <c r="D12"/>
  <c r="E12"/>
  <c r="D7"/>
  <c r="E7"/>
  <c r="E16"/>
  <c r="D16"/>
  <c r="E14"/>
  <c r="E3" s="1"/>
  <c r="D14"/>
  <c r="E13"/>
  <c r="D13"/>
  <c r="E9"/>
  <c r="D9"/>
  <c r="F12" i="13"/>
  <c r="F11" s="1"/>
  <c r="G12"/>
  <c r="G11" s="1"/>
  <c r="H12"/>
  <c r="H11" s="1"/>
  <c r="I12"/>
  <c r="I11" s="1"/>
  <c r="J12"/>
  <c r="J11" s="1"/>
  <c r="K12"/>
  <c r="K11" s="1"/>
  <c r="L12"/>
  <c r="L11" s="1"/>
  <c r="M12"/>
  <c r="M11" s="1"/>
  <c r="C14"/>
  <c r="C13" s="1"/>
  <c r="D13"/>
  <c r="E13"/>
  <c r="G13"/>
  <c r="H13"/>
  <c r="J13"/>
  <c r="K13"/>
  <c r="L13"/>
  <c r="M13"/>
  <c r="C16"/>
  <c r="F16"/>
  <c r="G16"/>
  <c r="H16"/>
  <c r="I16"/>
  <c r="I15" s="1"/>
  <c r="J16"/>
  <c r="K16"/>
  <c r="L16"/>
  <c r="M16"/>
  <c r="C17"/>
  <c r="D17"/>
  <c r="E17"/>
  <c r="F17"/>
  <c r="G17"/>
  <c r="H17"/>
  <c r="I17"/>
  <c r="J17"/>
  <c r="K17"/>
  <c r="L17"/>
  <c r="M17"/>
  <c r="F7"/>
  <c r="H7"/>
  <c r="I7"/>
  <c r="J7"/>
  <c r="K7"/>
  <c r="L7"/>
  <c r="M7"/>
  <c r="F8"/>
  <c r="G8"/>
  <c r="H8"/>
  <c r="I8"/>
  <c r="J8"/>
  <c r="K8"/>
  <c r="L8"/>
  <c r="M8"/>
  <c r="C9"/>
  <c r="F9"/>
  <c r="G9"/>
  <c r="H9"/>
  <c r="I9"/>
  <c r="J9"/>
  <c r="K9"/>
  <c r="L9"/>
  <c r="M9"/>
  <c r="C10"/>
  <c r="F10"/>
  <c r="G10"/>
  <c r="H10"/>
  <c r="I10"/>
  <c r="J10"/>
  <c r="K10"/>
  <c r="L10"/>
  <c r="M10"/>
  <c r="C4"/>
  <c r="D4"/>
  <c r="F4"/>
  <c r="H4"/>
  <c r="I4"/>
  <c r="J4"/>
  <c r="K4"/>
  <c r="L4"/>
  <c r="M4"/>
  <c r="C5"/>
  <c r="D5"/>
  <c r="E5"/>
  <c r="E3" s="1"/>
  <c r="F5"/>
  <c r="H5"/>
  <c r="I5"/>
  <c r="J5"/>
  <c r="K5"/>
  <c r="K3" s="1"/>
  <c r="L5"/>
  <c r="M5"/>
  <c r="C13" i="25"/>
  <c r="C12" i="13" s="1"/>
  <c r="C11" s="1"/>
  <c r="C7" i="25"/>
  <c r="C5" s="1"/>
  <c r="C6"/>
  <c r="C7" i="13" s="1"/>
  <c r="C13" i="18"/>
  <c r="C13" i="17"/>
  <c r="C13" i="14"/>
  <c r="C9"/>
  <c r="C16"/>
  <c r="F16"/>
  <c r="G16"/>
  <c r="H16"/>
  <c r="I16"/>
  <c r="J16"/>
  <c r="K16"/>
  <c r="L16"/>
  <c r="M16"/>
  <c r="B16"/>
  <c r="C14"/>
  <c r="F14"/>
  <c r="G14"/>
  <c r="H14"/>
  <c r="I14"/>
  <c r="J14"/>
  <c r="K14"/>
  <c r="L14"/>
  <c r="M14"/>
  <c r="B14"/>
  <c r="C12"/>
  <c r="F12"/>
  <c r="G12"/>
  <c r="H12"/>
  <c r="I12"/>
  <c r="J12"/>
  <c r="K12"/>
  <c r="L12"/>
  <c r="M12"/>
  <c r="M3" s="1"/>
  <c r="C7"/>
  <c r="F7"/>
  <c r="H7"/>
  <c r="I7"/>
  <c r="J7"/>
  <c r="K7"/>
  <c r="L7"/>
  <c r="M7"/>
  <c r="B7"/>
  <c r="M4"/>
  <c r="L4"/>
  <c r="K4"/>
  <c r="J4"/>
  <c r="I4"/>
  <c r="H4"/>
  <c r="G4"/>
  <c r="F4"/>
  <c r="E4"/>
  <c r="D4"/>
  <c r="C4"/>
  <c r="B4"/>
  <c r="C3"/>
  <c r="K3"/>
  <c r="B3"/>
  <c r="C16" i="33"/>
  <c r="D16"/>
  <c r="E16"/>
  <c r="F16"/>
  <c r="G16"/>
  <c r="H16"/>
  <c r="I16"/>
  <c r="J16"/>
  <c r="K16"/>
  <c r="L16"/>
  <c r="M16"/>
  <c r="B16"/>
  <c r="C14"/>
  <c r="D14"/>
  <c r="E14"/>
  <c r="F14"/>
  <c r="G14"/>
  <c r="H14"/>
  <c r="I14"/>
  <c r="J14"/>
  <c r="K14"/>
  <c r="L14"/>
  <c r="M14"/>
  <c r="M3" s="1"/>
  <c r="B14"/>
  <c r="C12"/>
  <c r="D12"/>
  <c r="E12"/>
  <c r="F12"/>
  <c r="G12"/>
  <c r="H12"/>
  <c r="I12"/>
  <c r="J12"/>
  <c r="K12"/>
  <c r="L12"/>
  <c r="M12"/>
  <c r="B12"/>
  <c r="C7"/>
  <c r="C3" s="1"/>
  <c r="D7"/>
  <c r="E7"/>
  <c r="F7"/>
  <c r="G7"/>
  <c r="H7"/>
  <c r="I7"/>
  <c r="J7"/>
  <c r="K7"/>
  <c r="L7"/>
  <c r="L3" s="1"/>
  <c r="M7"/>
  <c r="C4"/>
  <c r="K3"/>
  <c r="D4"/>
  <c r="E4"/>
  <c r="F4"/>
  <c r="G4"/>
  <c r="G3" s="1"/>
  <c r="H4"/>
  <c r="I4"/>
  <c r="J4"/>
  <c r="K4"/>
  <c r="L4"/>
  <c r="M4"/>
  <c r="B16" i="13"/>
  <c r="B14"/>
  <c r="B13" s="1"/>
  <c r="B12"/>
  <c r="B11" s="1"/>
  <c r="B9"/>
  <c r="B10"/>
  <c r="B7"/>
  <c r="B5"/>
  <c r="B4"/>
  <c r="B13" i="25"/>
  <c r="B7"/>
  <c r="B8" i="13" s="1"/>
  <c r="B6" i="25"/>
  <c r="B7" i="33"/>
  <c r="B4"/>
  <c r="H4" i="23"/>
  <c r="H5"/>
  <c r="B17" i="13"/>
  <c r="H14" i="25"/>
  <c r="G14"/>
  <c r="F14"/>
  <c r="E14"/>
  <c r="D14"/>
  <c r="C14"/>
  <c r="B14"/>
  <c r="H12"/>
  <c r="G12"/>
  <c r="F12"/>
  <c r="E12"/>
  <c r="D12"/>
  <c r="B12"/>
  <c r="I10"/>
  <c r="I4" s="1"/>
  <c r="H10"/>
  <c r="G10"/>
  <c r="F10"/>
  <c r="E10"/>
  <c r="D10"/>
  <c r="D4" s="1"/>
  <c r="C10"/>
  <c r="B10"/>
  <c r="H5"/>
  <c r="H4" s="1"/>
  <c r="F5"/>
  <c r="B7" i="18"/>
  <c r="B4"/>
  <c r="H16"/>
  <c r="G16"/>
  <c r="F16"/>
  <c r="E16"/>
  <c r="D16"/>
  <c r="C16"/>
  <c r="B16"/>
  <c r="H14"/>
  <c r="G14"/>
  <c r="F14"/>
  <c r="E14"/>
  <c r="D14"/>
  <c r="C14"/>
  <c r="B14"/>
  <c r="H12"/>
  <c r="H3" s="1"/>
  <c r="G12"/>
  <c r="G3" s="1"/>
  <c r="F12"/>
  <c r="E12"/>
  <c r="E3" s="1"/>
  <c r="D12"/>
  <c r="C12"/>
  <c r="B12"/>
  <c r="H7"/>
  <c r="G7"/>
  <c r="F7"/>
  <c r="D7"/>
  <c r="C7"/>
  <c r="H4"/>
  <c r="G4"/>
  <c r="F4"/>
  <c r="E4"/>
  <c r="D4"/>
  <c r="C4"/>
  <c r="M4"/>
  <c r="L4"/>
  <c r="K4"/>
  <c r="J4"/>
  <c r="I4"/>
  <c r="C4" i="17"/>
  <c r="D4"/>
  <c r="E4"/>
  <c r="C7"/>
  <c r="D7"/>
  <c r="E7"/>
  <c r="D12"/>
  <c r="C12"/>
  <c r="E12"/>
  <c r="C14"/>
  <c r="D14"/>
  <c r="E14"/>
  <c r="C16"/>
  <c r="D16"/>
  <c r="E16"/>
  <c r="B16"/>
  <c r="B14"/>
  <c r="B12"/>
  <c r="B7"/>
  <c r="B4"/>
  <c r="M5" i="25"/>
  <c r="G4" l="1"/>
  <c r="C12"/>
  <c r="C4" s="1"/>
  <c r="B5"/>
  <c r="B4" s="1"/>
  <c r="J3" i="33"/>
  <c r="I3" i="13"/>
  <c r="I6"/>
  <c r="I3" i="33"/>
  <c r="I3" i="14"/>
  <c r="C8" i="13"/>
  <c r="C6" s="1"/>
  <c r="H3" i="33"/>
  <c r="C3" i="13"/>
  <c r="F3"/>
  <c r="F15"/>
  <c r="G6"/>
  <c r="G3" i="14"/>
  <c r="D3" i="13"/>
  <c r="F6"/>
  <c r="L3"/>
  <c r="H3"/>
  <c r="F4" i="25"/>
  <c r="F3" i="33"/>
  <c r="F3" i="18"/>
  <c r="M6" i="13"/>
  <c r="M15"/>
  <c r="L6"/>
  <c r="H6"/>
  <c r="M3"/>
  <c r="D3" i="33"/>
  <c r="E3" i="17"/>
  <c r="E15" i="13"/>
  <c r="E2" s="1"/>
  <c r="E3" i="33"/>
  <c r="K15" i="13"/>
  <c r="G15"/>
  <c r="C15"/>
  <c r="K6"/>
  <c r="L15"/>
  <c r="H15"/>
  <c r="D15"/>
  <c r="D2" s="1"/>
  <c r="J15"/>
  <c r="C3" i="18"/>
  <c r="H3" i="14"/>
  <c r="L3"/>
  <c r="F3"/>
  <c r="J3"/>
  <c r="B15" i="13"/>
  <c r="B3"/>
  <c r="B3" i="33"/>
  <c r="B3" i="18"/>
  <c r="B6" i="13"/>
  <c r="C3" i="17"/>
  <c r="B3"/>
  <c r="M16" i="18"/>
  <c r="M7"/>
  <c r="K5" i="25"/>
  <c r="K14"/>
  <c r="K12"/>
  <c r="K7" i="17"/>
  <c r="I2" i="13" l="1"/>
  <c r="G2"/>
  <c r="H2"/>
  <c r="C2"/>
  <c r="K2"/>
  <c r="L2"/>
  <c r="F2"/>
  <c r="M2"/>
  <c r="B2"/>
  <c r="J12" i="25"/>
  <c r="J7" i="18"/>
  <c r="J12" i="17"/>
  <c r="J7"/>
  <c r="J4"/>
  <c r="I4"/>
  <c r="I7"/>
  <c r="G16"/>
  <c r="H16"/>
  <c r="I16"/>
  <c r="J16"/>
  <c r="K16"/>
  <c r="L16"/>
  <c r="M16"/>
  <c r="F14"/>
  <c r="G14"/>
  <c r="H14"/>
  <c r="I14"/>
  <c r="J14"/>
  <c r="K14"/>
  <c r="L14"/>
  <c r="M14"/>
  <c r="H7"/>
  <c r="J3" l="1"/>
  <c r="J14" i="25"/>
  <c r="H6" i="23" l="1"/>
  <c r="L5" i="25"/>
  <c r="J10"/>
  <c r="J4" s="1"/>
  <c r="K10"/>
  <c r="K4" s="1"/>
  <c r="L10"/>
  <c r="M10"/>
  <c r="L12"/>
  <c r="M12"/>
  <c r="L14"/>
  <c r="M14"/>
  <c r="I16" i="18"/>
  <c r="J16"/>
  <c r="K16"/>
  <c r="L16"/>
  <c r="I14"/>
  <c r="J14"/>
  <c r="K14"/>
  <c r="L14"/>
  <c r="M14"/>
  <c r="I12"/>
  <c r="J12"/>
  <c r="K12"/>
  <c r="L12"/>
  <c r="M12"/>
  <c r="M3" s="1"/>
  <c r="I7"/>
  <c r="K7"/>
  <c r="L7"/>
  <c r="L3" s="1"/>
  <c r="G12" i="17"/>
  <c r="H12"/>
  <c r="H3" s="1"/>
  <c r="I12"/>
  <c r="K12"/>
  <c r="L12"/>
  <c r="M12"/>
  <c r="H4"/>
  <c r="K4"/>
  <c r="L4"/>
  <c r="M4"/>
  <c r="M7"/>
  <c r="G7"/>
  <c r="L7"/>
  <c r="G4"/>
  <c r="F16"/>
  <c r="F12"/>
  <c r="F7"/>
  <c r="F4"/>
  <c r="J3" i="18" l="1"/>
  <c r="M4" i="25"/>
  <c r="K3" i="18"/>
  <c r="I3"/>
  <c r="F3" i="17"/>
  <c r="M3"/>
  <c r="L3"/>
  <c r="K3"/>
  <c r="L4" i="25"/>
  <c r="G3" i="17"/>
  <c r="G6" i="23" l="1"/>
  <c r="F6"/>
  <c r="E6"/>
  <c r="D6"/>
  <c r="C6"/>
  <c r="B12" i="14"/>
  <c r="B13" i="12"/>
  <c r="B12" s="1"/>
  <c r="B35"/>
  <c r="B34" s="1"/>
  <c r="B31"/>
  <c r="B30"/>
  <c r="B28"/>
  <c r="B24"/>
  <c r="B23" s="1"/>
  <c r="B19"/>
  <c r="B17"/>
  <c r="B16"/>
  <c r="B10"/>
  <c r="B11"/>
  <c r="B9"/>
  <c r="B8"/>
  <c r="B7" s="1"/>
  <c r="B6"/>
  <c r="B5"/>
  <c r="B20" l="1"/>
  <c r="B27"/>
  <c r="B26" s="1"/>
  <c r="B32"/>
  <c r="B33"/>
  <c r="B21"/>
  <c r="B4"/>
  <c r="B3" s="1"/>
  <c r="B2" s="1"/>
  <c r="B15"/>
  <c r="B18" l="1"/>
  <c r="B14" s="1"/>
  <c r="B29"/>
  <c r="B25" s="1"/>
</calcChain>
</file>

<file path=xl/sharedStrings.xml><?xml version="1.0" encoding="utf-8"?>
<sst xmlns="http://schemas.openxmlformats.org/spreadsheetml/2006/main" count="292" uniqueCount="91">
  <si>
    <t>ต.ค 55</t>
  </si>
  <si>
    <t>พ.ย 55</t>
  </si>
  <si>
    <t>ธ.ค 55</t>
  </si>
  <si>
    <t>ม.ค 56</t>
  </si>
  <si>
    <t>ก.พ 56</t>
  </si>
  <si>
    <t>มี.ค 56</t>
  </si>
  <si>
    <t>เม.ย 56</t>
  </si>
  <si>
    <t>พ.ค 56</t>
  </si>
  <si>
    <t>มิ.ย 56</t>
  </si>
  <si>
    <t>ก.ค 56</t>
  </si>
  <si>
    <t>ส.ค 56</t>
  </si>
  <si>
    <t>ก.ย 56</t>
  </si>
  <si>
    <t>สำนัก/กอง/ศูนย์</t>
  </si>
  <si>
    <t>ผลผลิตที่ 1</t>
  </si>
  <si>
    <t>ผลผลิตที่ 3</t>
  </si>
  <si>
    <t>1.งบบุคคลากร</t>
  </si>
  <si>
    <t>1.1 เงินเดือน</t>
  </si>
  <si>
    <t>2.งบดำเนินงาน</t>
  </si>
  <si>
    <t>2.2 ค่าใช้สอย</t>
  </si>
  <si>
    <t>2.3 ค่าวัสดุ</t>
  </si>
  <si>
    <t>2.4 ค่าสารธารณูปโภค</t>
  </si>
  <si>
    <t>2.1 ค่าตอบแทน</t>
  </si>
  <si>
    <t>1.2 ค่าตอบแทนพนักงานราชการ</t>
  </si>
  <si>
    <t>3.งบรายจ่ายอื่น</t>
  </si>
  <si>
    <t>3.1อื่นๆ</t>
  </si>
  <si>
    <t>3.1 อื่นๆ</t>
  </si>
  <si>
    <t>ผลผลิตที่ 2</t>
  </si>
  <si>
    <t>รวม</t>
  </si>
  <si>
    <t>ภาพรวม มกอช.</t>
  </si>
  <si>
    <t>-</t>
  </si>
  <si>
    <t>3. งบรายจ่ายอื่น</t>
  </si>
  <si>
    <t>2.4 ค่าสาธารณูปโภค</t>
  </si>
  <si>
    <t>งบดำเนินงาน</t>
  </si>
  <si>
    <t>งบรายจ่ายอื่น</t>
  </si>
  <si>
    <t>%การเบิกจ่าย</t>
  </si>
  <si>
    <t>4. งบอุดหนุน</t>
  </si>
  <si>
    <t>4.1 ค่าบำรุง</t>
  </si>
  <si>
    <t>5.1 ค่าบำรุง</t>
  </si>
  <si>
    <t>5.2 สิ่งก่อสร้าง</t>
  </si>
  <si>
    <t>5. งบลงทุน</t>
  </si>
  <si>
    <t>5.1 คุรุภัณฑ์</t>
  </si>
  <si>
    <t>รายการ</t>
  </si>
  <si>
    <t>งบบุคคลากร</t>
  </si>
  <si>
    <t>งบลงทุน</t>
  </si>
  <si>
    <t>งบเงินอุดหนุน</t>
  </si>
  <si>
    <t>ยอดได้รับตาม พ.ร.บ. งบประมาณ</t>
  </si>
  <si>
    <t>ยอดเบิกจ่ายจากระบบ GFMIS</t>
  </si>
  <si>
    <t>โครงการ</t>
  </si>
  <si>
    <t>4.งบลงทุน</t>
  </si>
  <si>
    <t>1. งบดำเนินงาน</t>
  </si>
  <si>
    <t>1.1 ค่าตอบแทน</t>
  </si>
  <si>
    <t>1.2 ค่าใช้สอย</t>
  </si>
  <si>
    <t>1.3 ค่าวัสดุ</t>
  </si>
  <si>
    <t>1.4 ค่าสาธารณูปโภค</t>
  </si>
  <si>
    <t>2.งบอุดหนุน</t>
  </si>
  <si>
    <t>2.1 อุดหนุนทั่วไป</t>
  </si>
  <si>
    <t>4.1  คุรุภัณฑ์</t>
  </si>
  <si>
    <t>ต.ค 59</t>
  </si>
  <si>
    <t>พ.ย 59</t>
  </si>
  <si>
    <t>ธ.ค 59</t>
  </si>
  <si>
    <t>ม.ค 60</t>
  </si>
  <si>
    <t>ก.พ 60</t>
  </si>
  <si>
    <t>มี.ค 60</t>
  </si>
  <si>
    <t>เม.ย 60</t>
  </si>
  <si>
    <t>พ.ค 60</t>
  </si>
  <si>
    <t>มิ.ย 60</t>
  </si>
  <si>
    <t>ก.ค 60</t>
  </si>
  <si>
    <t>ส.ค 60</t>
  </si>
  <si>
    <t>ก.ย 60</t>
  </si>
  <si>
    <t>ผลการเบิกจ่ายงบประมาณประจำปี พ.ศ.2560 แยกงบประมาณ</t>
  </si>
  <si>
    <t>งบบุคลากร</t>
  </si>
  <si>
    <t>งบอุดหนุน</t>
  </si>
  <si>
    <t>งบประมาณ (บาท)</t>
  </si>
  <si>
    <t>กตน.</t>
  </si>
  <si>
    <t>กพร.</t>
  </si>
  <si>
    <t>สลก.</t>
  </si>
  <si>
    <t>ส่วนกลาง</t>
  </si>
  <si>
    <t>กนม.</t>
  </si>
  <si>
    <t>ศสท.</t>
  </si>
  <si>
    <t>สกม.</t>
  </si>
  <si>
    <t>สรม.</t>
  </si>
  <si>
    <t>สสม.</t>
  </si>
  <si>
    <t>สคม.</t>
  </si>
  <si>
    <t>เปอร์เซ็นเบิกจ่าย</t>
  </si>
  <si>
    <t>ได้รับจัดสรร</t>
  </si>
  <si>
    <t>จัดสรร</t>
  </si>
  <si>
    <t>เบิกจ่าย</t>
  </si>
  <si>
    <t>ผูกพัน</t>
  </si>
  <si>
    <t>ผูกพัน วิเคราะห์ความเสี่ยง</t>
  </si>
  <si>
    <t>ผลการเบิกจ่าย กนม. ณ  31 มีค 2560</t>
  </si>
  <si>
    <t>ณ 30 มิถุนายน. 2560</t>
  </si>
</sst>
</file>

<file path=xl/styles.xml><?xml version="1.0" encoding="utf-8"?>
<styleSheet xmlns="http://schemas.openxmlformats.org/spreadsheetml/2006/main">
  <numFmts count="4">
    <numFmt numFmtId="43" formatCode="_-* #,##0.00_-;\-* #,##0.00_-;_-* &quot;-&quot;??_-;_-@_-"/>
    <numFmt numFmtId="187" formatCode="#,##0.00_ ;\-#,##0.00\ "/>
    <numFmt numFmtId="188" formatCode="_-* #,##0.000_-;\-* #,##0.000_-;_-* &quot;-&quot;??_-;_-@_-"/>
    <numFmt numFmtId="189" formatCode="0.0000"/>
  </numFmts>
  <fonts count="12">
    <font>
      <sz val="11"/>
      <color theme="1"/>
      <name val="Tahoma"/>
      <family val="2"/>
      <charset val="222"/>
      <scheme val="minor"/>
    </font>
    <font>
      <sz val="16"/>
      <name val="Angsana New"/>
      <family val="1"/>
    </font>
    <font>
      <sz val="11"/>
      <color theme="1"/>
      <name val="Tahoma"/>
      <family val="2"/>
      <charset val="222"/>
      <scheme val="minor"/>
    </font>
    <font>
      <sz val="16"/>
      <color theme="1"/>
      <name val="Angsana New"/>
      <family val="1"/>
    </font>
    <font>
      <b/>
      <sz val="16"/>
      <color theme="1"/>
      <name val="Angsana New"/>
      <family val="1"/>
    </font>
    <font>
      <b/>
      <sz val="18"/>
      <color theme="1"/>
      <name val="Angsana New"/>
      <family val="1"/>
    </font>
    <font>
      <b/>
      <sz val="13"/>
      <color theme="1"/>
      <name val="Angsana New"/>
      <family val="1"/>
    </font>
    <font>
      <sz val="13"/>
      <color theme="1"/>
      <name val="Angsana New"/>
      <family val="1"/>
    </font>
    <font>
      <sz val="16"/>
      <color theme="1"/>
      <name val="TH SarabunTHAI"/>
      <family val="2"/>
    </font>
    <font>
      <b/>
      <sz val="16"/>
      <color theme="1"/>
      <name val="TH SarabunTHAI"/>
      <family val="2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60">
    <xf numFmtId="0" fontId="0" fillId="0" borderId="0" xfId="0"/>
    <xf numFmtId="0" fontId="3" fillId="0" borderId="0" xfId="0" applyFont="1"/>
    <xf numFmtId="0" fontId="3" fillId="2" borderId="1" xfId="0" applyFont="1" applyFill="1" applyBorder="1"/>
    <xf numFmtId="43" fontId="3" fillId="2" borderId="1" xfId="0" applyNumberFormat="1" applyFont="1" applyFill="1" applyBorder="1"/>
    <xf numFmtId="0" fontId="3" fillId="2" borderId="0" xfId="0" applyFont="1" applyFill="1"/>
    <xf numFmtId="0" fontId="3" fillId="0" borderId="1" xfId="0" applyFont="1" applyBorder="1"/>
    <xf numFmtId="43" fontId="3" fillId="0" borderId="1" xfId="1" applyFont="1" applyBorder="1"/>
    <xf numFmtId="0" fontId="4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43" fontId="4" fillId="0" borderId="1" xfId="0" applyNumberFormat="1" applyFont="1" applyBorder="1" applyAlignment="1">
      <alignment horizontal="center" vertical="center"/>
    </xf>
    <xf numFmtId="43" fontId="3" fillId="0" borderId="1" xfId="0" applyNumberFormat="1" applyFont="1" applyBorder="1"/>
    <xf numFmtId="0" fontId="3" fillId="0" borderId="2" xfId="0" applyFont="1" applyBorder="1" applyAlignment="1">
      <alignment horizontal="left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43" fontId="3" fillId="2" borderId="1" xfId="1" applyFont="1" applyFill="1" applyBorder="1"/>
    <xf numFmtId="0" fontId="4" fillId="4" borderId="1" xfId="0" applyFont="1" applyFill="1" applyBorder="1" applyAlignment="1">
      <alignment horizontal="left" vertical="center"/>
    </xf>
    <xf numFmtId="43" fontId="3" fillId="4" borderId="1" xfId="1" applyFont="1" applyFill="1" applyBorder="1"/>
    <xf numFmtId="0" fontId="3" fillId="4" borderId="1" xfId="0" applyFont="1" applyFill="1" applyBorder="1"/>
    <xf numFmtId="0" fontId="3" fillId="4" borderId="0" xfId="0" applyFont="1" applyFill="1"/>
    <xf numFmtId="43" fontId="3" fillId="4" borderId="1" xfId="0" applyNumberFormat="1" applyFont="1" applyFill="1" applyBorder="1"/>
    <xf numFmtId="0" fontId="4" fillId="4" borderId="0" xfId="0" applyFont="1" applyFill="1"/>
    <xf numFmtId="0" fontId="4" fillId="4" borderId="2" xfId="0" applyFont="1" applyFill="1" applyBorder="1" applyAlignment="1">
      <alignment horizontal="left" vertical="center"/>
    </xf>
    <xf numFmtId="43" fontId="4" fillId="4" borderId="1" xfId="1" applyFont="1" applyFill="1" applyBorder="1"/>
    <xf numFmtId="0" fontId="4" fillId="4" borderId="1" xfId="0" applyFont="1" applyFill="1" applyBorder="1"/>
    <xf numFmtId="0" fontId="4" fillId="0" borderId="1" xfId="0" applyFont="1" applyBorder="1" applyAlignment="1">
      <alignment horizontal="center"/>
    </xf>
    <xf numFmtId="43" fontId="4" fillId="0" borderId="1" xfId="0" applyNumberFormat="1" applyFont="1" applyBorder="1" applyAlignment="1">
      <alignment horizontal="center"/>
    </xf>
    <xf numFmtId="43" fontId="4" fillId="2" borderId="1" xfId="0" applyNumberFormat="1" applyFont="1" applyFill="1" applyBorder="1" applyAlignment="1">
      <alignment horizontal="center"/>
    </xf>
    <xf numFmtId="43" fontId="4" fillId="4" borderId="1" xfId="0" applyNumberFormat="1" applyFont="1" applyFill="1" applyBorder="1" applyAlignment="1">
      <alignment horizontal="center"/>
    </xf>
    <xf numFmtId="43" fontId="3" fillId="0" borderId="1" xfId="0" applyNumberFormat="1" applyFont="1" applyBorder="1" applyAlignment="1">
      <alignment horizontal="center"/>
    </xf>
    <xf numFmtId="43" fontId="3" fillId="3" borderId="1" xfId="0" applyNumberFormat="1" applyFont="1" applyFill="1" applyBorder="1" applyAlignment="1">
      <alignment horizontal="center"/>
    </xf>
    <xf numFmtId="43" fontId="4" fillId="4" borderId="0" xfId="0" applyNumberFormat="1" applyFont="1" applyFill="1"/>
    <xf numFmtId="0" fontId="5" fillId="0" borderId="1" xfId="0" applyFont="1" applyBorder="1" applyAlignment="1">
      <alignment horizontal="center"/>
    </xf>
    <xf numFmtId="0" fontId="4" fillId="3" borderId="0" xfId="0" applyFont="1" applyFill="1"/>
    <xf numFmtId="0" fontId="4" fillId="5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left"/>
    </xf>
    <xf numFmtId="43" fontId="3" fillId="0" borderId="1" xfId="0" applyNumberFormat="1" applyFont="1" applyBorder="1" applyAlignment="1"/>
    <xf numFmtId="43" fontId="4" fillId="4" borderId="1" xfId="0" applyNumberFormat="1" applyFont="1" applyFill="1" applyBorder="1" applyAlignment="1"/>
    <xf numFmtId="0" fontId="3" fillId="0" borderId="1" xfId="0" applyFont="1" applyBorder="1" applyAlignment="1">
      <alignment horizontal="center"/>
    </xf>
    <xf numFmtId="10" fontId="3" fillId="0" borderId="1" xfId="0" applyNumberFormat="1" applyFont="1" applyBorder="1" applyAlignment="1">
      <alignment horizontal="center"/>
    </xf>
    <xf numFmtId="43" fontId="3" fillId="0" borderId="0" xfId="1" applyFont="1"/>
    <xf numFmtId="43" fontId="4" fillId="0" borderId="1" xfId="1" applyFont="1" applyBorder="1" applyAlignment="1">
      <alignment horizontal="center" vertical="center"/>
    </xf>
    <xf numFmtId="43" fontId="4" fillId="0" borderId="3" xfId="1" applyFont="1" applyBorder="1" applyAlignment="1">
      <alignment horizontal="center" vertical="center"/>
    </xf>
    <xf numFmtId="43" fontId="4" fillId="0" borderId="4" xfId="1" applyFont="1" applyBorder="1" applyAlignment="1">
      <alignment horizontal="center" vertical="center"/>
    </xf>
    <xf numFmtId="43" fontId="4" fillId="0" borderId="0" xfId="1" applyFont="1" applyAlignment="1">
      <alignment vertical="center"/>
    </xf>
    <xf numFmtId="43" fontId="3" fillId="0" borderId="0" xfId="0" applyNumberFormat="1" applyFont="1"/>
    <xf numFmtId="43" fontId="3" fillId="3" borderId="1" xfId="0" applyNumberFormat="1" applyFont="1" applyFill="1" applyBorder="1" applyAlignment="1"/>
    <xf numFmtId="43" fontId="4" fillId="4" borderId="1" xfId="0" applyNumberFormat="1" applyFont="1" applyFill="1" applyBorder="1"/>
    <xf numFmtId="0" fontId="3" fillId="3" borderId="0" xfId="0" applyFont="1" applyFill="1"/>
    <xf numFmtId="0" fontId="4" fillId="0" borderId="0" xfId="0" applyFont="1"/>
    <xf numFmtId="43" fontId="4" fillId="2" borderId="0" xfId="1" applyFont="1" applyFill="1"/>
    <xf numFmtId="188" fontId="3" fillId="0" borderId="0" xfId="1" applyNumberFormat="1" applyFont="1"/>
    <xf numFmtId="43" fontId="4" fillId="3" borderId="1" xfId="0" applyNumberFormat="1" applyFont="1" applyFill="1" applyBorder="1"/>
    <xf numFmtId="43" fontId="1" fillId="0" borderId="1" xfId="0" applyNumberFormat="1" applyFont="1" applyBorder="1"/>
    <xf numFmtId="43" fontId="3" fillId="4" borderId="0" xfId="0" applyNumberFormat="1" applyFont="1" applyFill="1"/>
    <xf numFmtId="43" fontId="3" fillId="4" borderId="1" xfId="0" applyNumberFormat="1" applyFont="1" applyFill="1" applyBorder="1" applyAlignment="1"/>
    <xf numFmtId="43" fontId="4" fillId="2" borderId="1" xfId="1" applyFont="1" applyFill="1" applyBorder="1" applyAlignment="1">
      <alignment horizontal="center" vertical="center"/>
    </xf>
    <xf numFmtId="43" fontId="7" fillId="0" borderId="1" xfId="1" applyFont="1" applyBorder="1"/>
    <xf numFmtId="0" fontId="7" fillId="0" borderId="1" xfId="0" applyFont="1" applyBorder="1"/>
    <xf numFmtId="0" fontId="7" fillId="0" borderId="0" xfId="0" applyFont="1"/>
    <xf numFmtId="43" fontId="6" fillId="0" borderId="0" xfId="1" applyFont="1" applyAlignment="1">
      <alignment vertical="center"/>
    </xf>
    <xf numFmtId="0" fontId="7" fillId="4" borderId="0" xfId="0" applyFont="1" applyFill="1"/>
    <xf numFmtId="0" fontId="6" fillId="4" borderId="1" xfId="0" applyFont="1" applyFill="1" applyBorder="1" applyAlignment="1">
      <alignment horizontal="left" vertical="center"/>
    </xf>
    <xf numFmtId="43" fontId="7" fillId="4" borderId="1" xfId="1" applyFont="1" applyFill="1" applyBorder="1"/>
    <xf numFmtId="0" fontId="7" fillId="6" borderId="0" xfId="0" applyFont="1" applyFill="1" applyBorder="1"/>
    <xf numFmtId="0" fontId="7" fillId="3" borderId="1" xfId="0" applyFont="1" applyFill="1" applyBorder="1" applyAlignment="1">
      <alignment horizontal="left" vertical="center"/>
    </xf>
    <xf numFmtId="43" fontId="7" fillId="0" borderId="1" xfId="0" applyNumberFormat="1" applyFont="1" applyBorder="1"/>
    <xf numFmtId="43" fontId="7" fillId="0" borderId="0" xfId="1" applyFont="1"/>
    <xf numFmtId="0" fontId="7" fillId="3" borderId="1" xfId="0" applyFont="1" applyFill="1" applyBorder="1" applyAlignment="1">
      <alignment horizontal="center" vertical="center"/>
    </xf>
    <xf numFmtId="43" fontId="7" fillId="0" borderId="0" xfId="0" applyNumberFormat="1" applyFont="1"/>
    <xf numFmtId="0" fontId="7" fillId="0" borderId="2" xfId="0" applyFont="1" applyBorder="1" applyAlignment="1">
      <alignment horizontal="left" vertical="center"/>
    </xf>
    <xf numFmtId="0" fontId="6" fillId="4" borderId="1" xfId="0" applyFont="1" applyFill="1" applyBorder="1"/>
    <xf numFmtId="43" fontId="7" fillId="4" borderId="1" xfId="0" applyNumberFormat="1" applyFont="1" applyFill="1" applyBorder="1"/>
    <xf numFmtId="43" fontId="7" fillId="4" borderId="0" xfId="0" applyNumberFormat="1" applyFont="1" applyFill="1"/>
    <xf numFmtId="0" fontId="7" fillId="0" borderId="1" xfId="0" applyFont="1" applyBorder="1" applyAlignment="1">
      <alignment horizontal="left"/>
    </xf>
    <xf numFmtId="0" fontId="7" fillId="2" borderId="0" xfId="0" applyFont="1" applyFill="1"/>
    <xf numFmtId="0" fontId="6" fillId="4" borderId="0" xfId="0" applyFont="1" applyFill="1"/>
    <xf numFmtId="0" fontId="6" fillId="3" borderId="0" xfId="0" applyFont="1" applyFill="1"/>
    <xf numFmtId="0" fontId="6" fillId="5" borderId="1" xfId="0" applyFont="1" applyFill="1" applyBorder="1" applyAlignment="1">
      <alignment horizontal="center"/>
    </xf>
    <xf numFmtId="43" fontId="4" fillId="0" borderId="0" xfId="1" applyFont="1"/>
    <xf numFmtId="43" fontId="3" fillId="0" borderId="0" xfId="0" applyNumberFormat="1" applyFont="1" applyFill="1"/>
    <xf numFmtId="0" fontId="3" fillId="0" borderId="0" xfId="0" applyFont="1" applyFill="1"/>
    <xf numFmtId="43" fontId="3" fillId="0" borderId="0" xfId="1" applyFont="1" applyFill="1"/>
    <xf numFmtId="187" fontId="1" fillId="0" borderId="1" xfId="1" applyNumberFormat="1" applyFont="1" applyBorder="1" applyAlignment="1">
      <alignment horizontal="center"/>
    </xf>
    <xf numFmtId="187" fontId="1" fillId="0" borderId="1" xfId="0" applyNumberFormat="1" applyFont="1" applyBorder="1" applyAlignment="1">
      <alignment horizontal="center"/>
    </xf>
    <xf numFmtId="189" fontId="3" fillId="0" borderId="0" xfId="0" applyNumberFormat="1" applyFont="1" applyFill="1"/>
    <xf numFmtId="0" fontId="3" fillId="0" borderId="0" xfId="0" applyFont="1" applyFill="1" applyAlignment="1"/>
    <xf numFmtId="43" fontId="3" fillId="0" borderId="0" xfId="0" applyNumberFormat="1" applyFont="1" applyFill="1" applyBorder="1"/>
    <xf numFmtId="43" fontId="3" fillId="0" borderId="0" xfId="1" applyFont="1" applyFill="1" applyBorder="1"/>
    <xf numFmtId="43" fontId="4" fillId="0" borderId="0" xfId="1" applyFont="1" applyFill="1" applyBorder="1"/>
    <xf numFmtId="43" fontId="3" fillId="0" borderId="0" xfId="1" applyFont="1" applyFill="1" applyAlignment="1">
      <alignment horizontal="left"/>
    </xf>
    <xf numFmtId="188" fontId="3" fillId="0" borderId="0" xfId="1" applyNumberFormat="1" applyFont="1" applyFill="1"/>
    <xf numFmtId="43" fontId="3" fillId="0" borderId="0" xfId="1" applyNumberFormat="1" applyFont="1" applyFill="1"/>
    <xf numFmtId="43" fontId="4" fillId="0" borderId="0" xfId="0" applyNumberFormat="1" applyFont="1" applyFill="1" applyBorder="1" applyAlignment="1"/>
    <xf numFmtId="43" fontId="4" fillId="0" borderId="0" xfId="1" applyFont="1" applyFill="1" applyBorder="1" applyAlignment="1">
      <alignment horizontal="center" vertical="center"/>
    </xf>
    <xf numFmtId="0" fontId="4" fillId="0" borderId="0" xfId="0" applyFont="1" applyFill="1"/>
    <xf numFmtId="43" fontId="3" fillId="0" borderId="0" xfId="0" applyNumberFormat="1" applyFont="1" applyFill="1" applyBorder="1" applyAlignment="1"/>
    <xf numFmtId="43" fontId="4" fillId="0" borderId="0" xfId="0" applyNumberFormat="1" applyFont="1" applyFill="1" applyBorder="1"/>
    <xf numFmtId="43" fontId="3" fillId="0" borderId="5" xfId="1" applyFont="1" applyBorder="1"/>
    <xf numFmtId="0" fontId="3" fillId="0" borderId="5" xfId="0" applyFont="1" applyBorder="1"/>
    <xf numFmtId="0" fontId="4" fillId="0" borderId="5" xfId="0" applyFont="1" applyBorder="1" applyAlignment="1">
      <alignment horizontal="left" vertical="center"/>
    </xf>
    <xf numFmtId="0" fontId="8" fillId="0" borderId="0" xfId="0" applyFont="1"/>
    <xf numFmtId="0" fontId="9" fillId="0" borderId="1" xfId="0" applyFont="1" applyBorder="1" applyAlignment="1">
      <alignment horizontal="center"/>
    </xf>
    <xf numFmtId="0" fontId="8" fillId="0" borderId="8" xfId="0" applyFont="1" applyBorder="1" applyAlignment="1">
      <alignment horizontal="left"/>
    </xf>
    <xf numFmtId="0" fontId="8" fillId="0" borderId="6" xfId="0" applyFont="1" applyBorder="1" applyAlignment="1">
      <alignment horizontal="left"/>
    </xf>
    <xf numFmtId="0" fontId="8" fillId="0" borderId="7" xfId="0" applyFont="1" applyBorder="1" applyAlignment="1">
      <alignment horizontal="left"/>
    </xf>
    <xf numFmtId="43" fontId="9" fillId="0" borderId="1" xfId="1" applyFont="1" applyBorder="1" applyAlignment="1">
      <alignment horizontal="center"/>
    </xf>
    <xf numFmtId="43" fontId="8" fillId="0" borderId="8" xfId="1" applyFont="1" applyBorder="1"/>
    <xf numFmtId="43" fontId="8" fillId="0" borderId="6" xfId="1" applyFont="1" applyBorder="1"/>
    <xf numFmtId="43" fontId="8" fillId="0" borderId="7" xfId="1" applyFont="1" applyBorder="1"/>
    <xf numFmtId="43" fontId="8" fillId="0" borderId="0" xfId="1" applyFont="1"/>
    <xf numFmtId="43" fontId="9" fillId="0" borderId="1" xfId="1" applyFont="1" applyBorder="1"/>
    <xf numFmtId="43" fontId="8" fillId="0" borderId="0" xfId="0" applyNumberFormat="1" applyFont="1"/>
    <xf numFmtId="43" fontId="8" fillId="2" borderId="0" xfId="1" applyFont="1" applyFill="1"/>
    <xf numFmtId="43" fontId="8" fillId="7" borderId="0" xfId="0" applyNumberFormat="1" applyFont="1" applyFill="1"/>
    <xf numFmtId="187" fontId="1" fillId="0" borderId="1" xfId="0" applyNumberFormat="1" applyFont="1" applyFill="1" applyBorder="1" applyAlignment="1">
      <alignment horizontal="center"/>
    </xf>
    <xf numFmtId="0" fontId="4" fillId="0" borderId="0" xfId="0" applyFont="1" applyAlignment="1">
      <alignment vertical="center"/>
    </xf>
    <xf numFmtId="43" fontId="4" fillId="2" borderId="1" xfId="0" applyNumberFormat="1" applyFont="1" applyFill="1" applyBorder="1"/>
    <xf numFmtId="43" fontId="4" fillId="2" borderId="0" xfId="0" applyNumberFormat="1" applyFont="1" applyFill="1"/>
    <xf numFmtId="0" fontId="4" fillId="2" borderId="0" xfId="0" applyFont="1" applyFill="1"/>
    <xf numFmtId="43" fontId="4" fillId="4" borderId="0" xfId="0" applyNumberFormat="1" applyFont="1" applyFill="1" applyBorder="1"/>
    <xf numFmtId="0" fontId="4" fillId="4" borderId="0" xfId="0" applyFont="1" applyFill="1" applyBorder="1"/>
    <xf numFmtId="0" fontId="4" fillId="4" borderId="9" xfId="0" applyFont="1" applyFill="1" applyBorder="1"/>
    <xf numFmtId="43" fontId="3" fillId="0" borderId="0" xfId="0" applyNumberFormat="1" applyFont="1" applyBorder="1"/>
    <xf numFmtId="0" fontId="3" fillId="0" borderId="0" xfId="0" applyFont="1" applyBorder="1"/>
    <xf numFmtId="0" fontId="3" fillId="0" borderId="0" xfId="0" applyFont="1" applyBorder="1" applyAlignment="1">
      <alignment horizontal="right"/>
    </xf>
    <xf numFmtId="0" fontId="3" fillId="3" borderId="0" xfId="0" applyFont="1" applyFill="1" applyBorder="1"/>
    <xf numFmtId="43" fontId="3" fillId="3" borderId="0" xfId="0" applyNumberFormat="1" applyFont="1" applyFill="1" applyBorder="1"/>
    <xf numFmtId="0" fontId="10" fillId="0" borderId="0" xfId="0" applyFont="1" applyFill="1" applyBorder="1"/>
    <xf numFmtId="43" fontId="10" fillId="0" borderId="0" xfId="1" applyFont="1" applyFill="1" applyBorder="1"/>
    <xf numFmtId="0" fontId="11" fillId="0" borderId="1" xfId="0" applyFont="1" applyFill="1" applyBorder="1" applyAlignment="1">
      <alignment horizontal="center" vertical="center"/>
    </xf>
    <xf numFmtId="43" fontId="11" fillId="0" borderId="1" xfId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/>
    </xf>
    <xf numFmtId="43" fontId="11" fillId="2" borderId="1" xfId="1" applyFont="1" applyFill="1" applyBorder="1" applyAlignment="1">
      <alignment horizontal="center"/>
    </xf>
    <xf numFmtId="43" fontId="11" fillId="2" borderId="1" xfId="0" applyNumberFormat="1" applyFont="1" applyFill="1" applyBorder="1"/>
    <xf numFmtId="0" fontId="11" fillId="0" borderId="0" xfId="0" applyFont="1" applyFill="1" applyBorder="1"/>
    <xf numFmtId="0" fontId="11" fillId="4" borderId="1" xfId="0" applyFont="1" applyFill="1" applyBorder="1" applyAlignment="1">
      <alignment horizontal="left" vertical="center"/>
    </xf>
    <xf numFmtId="43" fontId="11" fillId="4" borderId="1" xfId="1" applyFont="1" applyFill="1" applyBorder="1" applyAlignment="1">
      <alignment horizontal="left" vertical="center"/>
    </xf>
    <xf numFmtId="43" fontId="11" fillId="4" borderId="1" xfId="1" applyFont="1" applyFill="1" applyBorder="1"/>
    <xf numFmtId="0" fontId="10" fillId="0" borderId="1" xfId="0" applyFont="1" applyFill="1" applyBorder="1" applyAlignment="1">
      <alignment horizontal="left" vertical="center"/>
    </xf>
    <xf numFmtId="43" fontId="10" fillId="0" borderId="1" xfId="1" applyFont="1" applyFill="1" applyBorder="1" applyAlignment="1">
      <alignment horizontal="left" vertical="center"/>
    </xf>
    <xf numFmtId="43" fontId="10" fillId="0" borderId="1" xfId="0" applyNumberFormat="1" applyFont="1" applyFill="1" applyBorder="1"/>
    <xf numFmtId="0" fontId="10" fillId="0" borderId="1" xfId="0" applyFont="1" applyFill="1" applyBorder="1" applyAlignment="1">
      <alignment horizontal="center" vertical="center"/>
    </xf>
    <xf numFmtId="43" fontId="10" fillId="0" borderId="1" xfId="1" applyFont="1" applyFill="1" applyBorder="1" applyAlignment="1">
      <alignment horizontal="center" vertical="center"/>
    </xf>
    <xf numFmtId="0" fontId="11" fillId="4" borderId="1" xfId="0" applyFont="1" applyFill="1" applyBorder="1"/>
    <xf numFmtId="43" fontId="11" fillId="4" borderId="1" xfId="0" applyNumberFormat="1" applyFont="1" applyFill="1" applyBorder="1"/>
    <xf numFmtId="0" fontId="10" fillId="0" borderId="1" xfId="0" applyFont="1" applyFill="1" applyBorder="1" applyAlignment="1">
      <alignment horizontal="left"/>
    </xf>
    <xf numFmtId="43" fontId="10" fillId="0" borderId="1" xfId="1" applyFont="1" applyFill="1" applyBorder="1" applyAlignment="1">
      <alignment horizontal="left"/>
    </xf>
    <xf numFmtId="0" fontId="10" fillId="0" borderId="1" xfId="0" applyFont="1" applyFill="1" applyBorder="1"/>
    <xf numFmtId="43" fontId="10" fillId="0" borderId="1" xfId="1" applyFont="1" applyFill="1" applyBorder="1"/>
    <xf numFmtId="43" fontId="10" fillId="0" borderId="0" xfId="0" applyNumberFormat="1" applyFont="1" applyFill="1" applyBorder="1"/>
    <xf numFmtId="43" fontId="3" fillId="2" borderId="0" xfId="1" applyFont="1" applyFill="1"/>
    <xf numFmtId="0" fontId="4" fillId="0" borderId="0" xfId="0" applyFont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9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11" fillId="0" borderId="0" xfId="0" applyFont="1" applyFill="1" applyBorder="1" applyAlignment="1">
      <alignment horizontal="center"/>
    </xf>
    <xf numFmtId="43" fontId="4" fillId="0" borderId="0" xfId="1" applyFont="1" applyFill="1"/>
    <xf numFmtId="43" fontId="1" fillId="0" borderId="0" xfId="1" applyNumberFormat="1" applyFont="1" applyFill="1"/>
    <xf numFmtId="43" fontId="3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th-TH"/>
  <c:chart>
    <c:plotArea>
      <c:layout>
        <c:manualLayout>
          <c:layoutTarget val="inner"/>
          <c:xMode val="edge"/>
          <c:yMode val="edge"/>
          <c:x val="0.16183361314793121"/>
          <c:y val="0.13274322548854614"/>
          <c:w val="0.62389092207111574"/>
          <c:h val="0.62729626268804872"/>
        </c:manualLayout>
      </c:layout>
      <c:barChart>
        <c:barDir val="col"/>
        <c:grouping val="clustered"/>
        <c:ser>
          <c:idx val="0"/>
          <c:order val="0"/>
          <c:tx>
            <c:strRef>
              <c:f>ผลการเบิกจ่าย!$B$4</c:f>
              <c:strCache>
                <c:ptCount val="1"/>
                <c:pt idx="0">
                  <c:v>ยอดได้รับตาม พ.ร.บ. งบประมาณ</c:v>
                </c:pt>
              </c:strCache>
            </c:strRef>
          </c:tx>
          <c:cat>
            <c:strRef>
              <c:f>ผลการเบิกจ่าย!$C$3:$H$3</c:f>
              <c:strCache>
                <c:ptCount val="6"/>
                <c:pt idx="0">
                  <c:v>งบบุคคลากร</c:v>
                </c:pt>
                <c:pt idx="1">
                  <c:v>งบดำเนินงาน</c:v>
                </c:pt>
                <c:pt idx="2">
                  <c:v>งบลงทุน</c:v>
                </c:pt>
                <c:pt idx="3">
                  <c:v>งบเงินอุดหนุน</c:v>
                </c:pt>
                <c:pt idx="4">
                  <c:v>งบรายจ่ายอื่น</c:v>
                </c:pt>
                <c:pt idx="5">
                  <c:v>รวม</c:v>
                </c:pt>
              </c:strCache>
            </c:strRef>
          </c:cat>
          <c:val>
            <c:numRef>
              <c:f>ผลการเบิกจ่าย!$C$4:$H$4</c:f>
              <c:numCache>
                <c:formatCode>#,##0.00_ ;\-#,##0.00\ </c:formatCode>
                <c:ptCount val="6"/>
                <c:pt idx="0">
                  <c:v>80.364900000000006</c:v>
                </c:pt>
                <c:pt idx="1">
                  <c:v>85.600499999999997</c:v>
                </c:pt>
                <c:pt idx="2">
                  <c:v>24.448699999999999</c:v>
                </c:pt>
                <c:pt idx="3">
                  <c:v>5.3624999999999998</c:v>
                </c:pt>
                <c:pt idx="4">
                  <c:v>102.9688</c:v>
                </c:pt>
                <c:pt idx="5">
                  <c:v>298.74540000000002</c:v>
                </c:pt>
              </c:numCache>
            </c:numRef>
          </c:val>
        </c:ser>
        <c:ser>
          <c:idx val="1"/>
          <c:order val="1"/>
          <c:tx>
            <c:strRef>
              <c:f>ผลการเบิกจ่าย!$B$5</c:f>
              <c:strCache>
                <c:ptCount val="1"/>
                <c:pt idx="0">
                  <c:v>ยอดเบิกจ่ายจากระบบ GFMIS</c:v>
                </c:pt>
              </c:strCache>
            </c:strRef>
          </c:tx>
          <c:cat>
            <c:strRef>
              <c:f>ผลการเบิกจ่าย!$C$3:$H$3</c:f>
              <c:strCache>
                <c:ptCount val="6"/>
                <c:pt idx="0">
                  <c:v>งบบุคคลากร</c:v>
                </c:pt>
                <c:pt idx="1">
                  <c:v>งบดำเนินงาน</c:v>
                </c:pt>
                <c:pt idx="2">
                  <c:v>งบลงทุน</c:v>
                </c:pt>
                <c:pt idx="3">
                  <c:v>งบเงินอุดหนุน</c:v>
                </c:pt>
                <c:pt idx="4">
                  <c:v>งบรายจ่ายอื่น</c:v>
                </c:pt>
                <c:pt idx="5">
                  <c:v>รวม</c:v>
                </c:pt>
              </c:strCache>
            </c:strRef>
          </c:cat>
          <c:val>
            <c:numRef>
              <c:f>ผลการเบิกจ่าย!$C$5:$H$5</c:f>
              <c:numCache>
                <c:formatCode>#,##0.00_ ;\-#,##0.00\ </c:formatCode>
                <c:ptCount val="6"/>
                <c:pt idx="0">
                  <c:v>59.688180000000003</c:v>
                </c:pt>
                <c:pt idx="1">
                  <c:v>54.893279</c:v>
                </c:pt>
                <c:pt idx="2">
                  <c:v>6.10745</c:v>
                </c:pt>
                <c:pt idx="3">
                  <c:v>5.3593999999999999</c:v>
                </c:pt>
                <c:pt idx="4">
                  <c:v>41.660639000000003</c:v>
                </c:pt>
                <c:pt idx="5">
                  <c:v>167.70894799999999</c:v>
                </c:pt>
              </c:numCache>
            </c:numRef>
          </c:val>
        </c:ser>
        <c:ser>
          <c:idx val="2"/>
          <c:order val="2"/>
          <c:tx>
            <c:strRef>
              <c:f>ผลการเบิกจ่าย!$B$6</c:f>
              <c:strCache>
                <c:ptCount val="1"/>
                <c:pt idx="0">
                  <c:v>%การเบิกจ่าย</c:v>
                </c:pt>
              </c:strCache>
            </c:strRef>
          </c:tx>
          <c:cat>
            <c:strRef>
              <c:f>ผลการเบิกจ่าย!$C$3:$H$3</c:f>
              <c:strCache>
                <c:ptCount val="6"/>
                <c:pt idx="0">
                  <c:v>งบบุคคลากร</c:v>
                </c:pt>
                <c:pt idx="1">
                  <c:v>งบดำเนินงาน</c:v>
                </c:pt>
                <c:pt idx="2">
                  <c:v>งบลงทุน</c:v>
                </c:pt>
                <c:pt idx="3">
                  <c:v>งบเงินอุดหนุน</c:v>
                </c:pt>
                <c:pt idx="4">
                  <c:v>งบรายจ่ายอื่น</c:v>
                </c:pt>
                <c:pt idx="5">
                  <c:v>รวม</c:v>
                </c:pt>
              </c:strCache>
            </c:strRef>
          </c:cat>
          <c:val>
            <c:numRef>
              <c:f>ผลการเบิกจ่าย!$C$6:$H$6</c:f>
              <c:numCache>
                <c:formatCode>0.00%</c:formatCode>
                <c:ptCount val="6"/>
                <c:pt idx="0">
                  <c:v>0.7427145432894211</c:v>
                </c:pt>
                <c:pt idx="1">
                  <c:v>0.64127287807898326</c:v>
                </c:pt>
                <c:pt idx="2">
                  <c:v>0.24980673819057866</c:v>
                </c:pt>
                <c:pt idx="3">
                  <c:v>0.99942191142191139</c:v>
                </c:pt>
                <c:pt idx="4">
                  <c:v>0.40459478016641937</c:v>
                </c:pt>
                <c:pt idx="5">
                  <c:v>0.56137750740262438</c:v>
                </c:pt>
              </c:numCache>
            </c:numRef>
          </c:val>
        </c:ser>
        <c:axId val="95908992"/>
        <c:axId val="95910528"/>
      </c:barChart>
      <c:catAx>
        <c:axId val="95908992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th-TH"/>
          </a:p>
        </c:txPr>
        <c:crossAx val="95910528"/>
        <c:crosses val="autoZero"/>
        <c:auto val="1"/>
        <c:lblAlgn val="ctr"/>
        <c:lblOffset val="100"/>
      </c:catAx>
      <c:valAx>
        <c:axId val="95910528"/>
        <c:scaling>
          <c:orientation val="minMax"/>
        </c:scaling>
        <c:axPos val="l"/>
        <c:majorGridlines/>
        <c:numFmt formatCode="#,##0.00_ ;\-#,##0.00\ 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th-TH"/>
          </a:p>
        </c:txPr>
        <c:crossAx val="95908992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defRPr>
          </a:pPr>
          <a:endParaRPr lang="th-TH"/>
        </a:p>
      </c:txPr>
    </c:legend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th-TH"/>
    </a:p>
  </c:txPr>
  <c:printSettings>
    <c:headerFooter/>
    <c:pageMargins b="0.75000000000000711" l="0.70000000000000062" r="0.70000000000000062" t="0.750000000000007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81243</xdr:colOff>
      <xdr:row>9</xdr:row>
      <xdr:rowOff>251011</xdr:rowOff>
    </xdr:from>
    <xdr:to>
      <xdr:col>8</xdr:col>
      <xdr:colOff>31937</xdr:colOff>
      <xdr:row>23</xdr:row>
      <xdr:rowOff>289111</xdr:rowOff>
    </xdr:to>
    <xdr:graphicFrame macro="">
      <xdr:nvGraphicFramePr>
        <xdr:cNvPr id="173613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694765</xdr:colOff>
      <xdr:row>22</xdr:row>
      <xdr:rowOff>224118</xdr:rowOff>
    </xdr:from>
    <xdr:to>
      <xdr:col>4</xdr:col>
      <xdr:colOff>459440</xdr:colOff>
      <xdr:row>23</xdr:row>
      <xdr:rowOff>201707</xdr:rowOff>
    </xdr:to>
    <xdr:sp macro="" textlink="">
      <xdr:nvSpPr>
        <xdr:cNvPr id="5" name="TextBox 4"/>
        <xdr:cNvSpPr txBox="1"/>
      </xdr:nvSpPr>
      <xdr:spPr>
        <a:xfrm>
          <a:off x="5849471" y="6633883"/>
          <a:ext cx="1086969" cy="26894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th-TH" sz="1100" b="1"/>
            <a:t>การเบิกจ่าย</a:t>
          </a:r>
        </a:p>
      </xdr:txBody>
    </xdr:sp>
    <xdr:clientData/>
  </xdr:twoCellAnchor>
  <xdr:twoCellAnchor>
    <xdr:from>
      <xdr:col>1</xdr:col>
      <xdr:colOff>795621</xdr:colOff>
      <xdr:row>13</xdr:row>
      <xdr:rowOff>224117</xdr:rowOff>
    </xdr:from>
    <xdr:to>
      <xdr:col>1</xdr:col>
      <xdr:colOff>1143006</xdr:colOff>
      <xdr:row>19</xdr:row>
      <xdr:rowOff>100852</xdr:rowOff>
    </xdr:to>
    <xdr:sp macro="" textlink="">
      <xdr:nvSpPr>
        <xdr:cNvPr id="6" name="TextBox 5"/>
        <xdr:cNvSpPr txBox="1"/>
      </xdr:nvSpPr>
      <xdr:spPr>
        <a:xfrm rot="16200000">
          <a:off x="1266269" y="4650439"/>
          <a:ext cx="1624853" cy="34738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th-TH" sz="1100" b="1"/>
            <a:t>จำนวนเงิน (ล้านบาท)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nan%202557/plan/2558/gf/&#3605;&#3588;.57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ผลผลิต1"/>
      <sheetName val="ผลผลิต2"/>
      <sheetName val="ผลผลิต3"/>
      <sheetName val="โครงการ"/>
      <sheetName val="Sheet1"/>
      <sheetName val="ภาพรวมผลผลิตที่1"/>
      <sheetName val="ภาพรวมผลผลิตที่2"/>
      <sheetName val="ภาพรวมผลผลิตที่3"/>
      <sheetName val="ภาพรวมโครงการ"/>
      <sheetName val="แบ่งตามหน่วยงาน"/>
      <sheetName val="ภาพรวม"/>
      <sheetName val="ผลการเบิกจ่าย"/>
      <sheetName val="โครงการรวมโอนปป. (2)"/>
      <sheetName val="ประกันสังคม"/>
      <sheetName val="Sheet3"/>
    </sheetNames>
    <sheetDataSet>
      <sheetData sheetId="0"/>
      <sheetData sheetId="1"/>
      <sheetData sheetId="2"/>
      <sheetData sheetId="3">
        <row r="22">
          <cell r="B22">
            <v>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35"/>
  <sheetViews>
    <sheetView view="pageBreakPreview" topLeftCell="A19" zoomScale="85" zoomScaleNormal="100" zoomScaleSheetLayoutView="85" workbookViewId="0">
      <selection activeCell="B26" sqref="B26"/>
    </sheetView>
  </sheetViews>
  <sheetFormatPr defaultRowHeight="23.25"/>
  <cols>
    <col min="1" max="1" width="23.75" style="1" bestFit="1" customWidth="1"/>
    <col min="2" max="2" width="13.5" style="1" customWidth="1"/>
    <col min="3" max="16384" width="9" style="1"/>
  </cols>
  <sheetData>
    <row r="1" spans="1:13">
      <c r="A1" s="5"/>
      <c r="B1" s="7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6</v>
      </c>
      <c r="I1" s="7" t="s">
        <v>7</v>
      </c>
      <c r="J1" s="7" t="s">
        <v>8</v>
      </c>
      <c r="K1" s="7" t="s">
        <v>9</v>
      </c>
      <c r="L1" s="7" t="s">
        <v>10</v>
      </c>
      <c r="M1" s="7" t="s">
        <v>11</v>
      </c>
    </row>
    <row r="2" spans="1:13" ht="26.25">
      <c r="A2" s="31" t="s">
        <v>27</v>
      </c>
      <c r="B2" s="9" t="e">
        <f>SUM(B3,B14,B25)</f>
        <v>#REF!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</row>
    <row r="3" spans="1:13" s="4" customFormat="1">
      <c r="A3" s="8" t="s">
        <v>13</v>
      </c>
      <c r="B3" s="26" t="e">
        <f>SUM(B4,B7,B12)</f>
        <v>#REF!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1:13" s="18" customFormat="1">
      <c r="A4" s="15" t="s">
        <v>15</v>
      </c>
      <c r="B4" s="30" t="e">
        <f>SUM(B5:B6)</f>
        <v>#REF!</v>
      </c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</row>
    <row r="5" spans="1:13">
      <c r="A5" s="13" t="s">
        <v>16</v>
      </c>
      <c r="B5" s="29" t="e">
        <f>#REF!+#REF!+#REF!+#REF!+#REF!+#REF!</f>
        <v>#REF!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</row>
    <row r="6" spans="1:13">
      <c r="A6" s="12" t="s">
        <v>22</v>
      </c>
      <c r="B6" s="28" t="e">
        <f>#REF!+#REF!+#REF!+#REF!+#REF!+#REF!</f>
        <v>#REF!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</row>
    <row r="7" spans="1:13" s="18" customFormat="1">
      <c r="A7" s="15" t="s">
        <v>17</v>
      </c>
      <c r="B7" s="27" t="e">
        <f>SUM(B8:B11)</f>
        <v>#REF!</v>
      </c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</row>
    <row r="8" spans="1:13">
      <c r="A8" s="11" t="s">
        <v>21</v>
      </c>
      <c r="B8" s="28" t="e">
        <f>#REF!+#REF!+#REF!+#REF!+#REF!+#REF!</f>
        <v>#REF!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</row>
    <row r="9" spans="1:13">
      <c r="A9" s="11" t="s">
        <v>18</v>
      </c>
      <c r="B9" s="28" t="e">
        <f>#REF!+#REF!+#REF!+#REF!+#REF!+#REF!</f>
        <v>#REF!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</row>
    <row r="10" spans="1:13">
      <c r="A10" s="11" t="s">
        <v>19</v>
      </c>
      <c r="B10" s="28" t="e">
        <f>#REF!+#REF!+#REF!+#REF!+#REF!+#REF!</f>
        <v>#REF!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</row>
    <row r="11" spans="1:13">
      <c r="A11" s="11" t="s">
        <v>20</v>
      </c>
      <c r="B11" s="28" t="e">
        <f>#REF!+#REF!+#REF!+#REF!+#REF!+#REF!</f>
        <v>#REF!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  <row r="12" spans="1:13" s="20" customFormat="1">
      <c r="A12" s="21" t="s">
        <v>23</v>
      </c>
      <c r="B12" s="22" t="e">
        <f>SUM(B13)</f>
        <v>#REF!</v>
      </c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</row>
    <row r="13" spans="1:13">
      <c r="A13" s="11" t="s">
        <v>24</v>
      </c>
      <c r="B13" s="6" t="e">
        <f>#REF!</f>
        <v>#REF!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</row>
    <row r="14" spans="1:13" s="4" customFormat="1">
      <c r="A14" s="8" t="s">
        <v>26</v>
      </c>
      <c r="B14" s="26" t="e">
        <f>SUM(B15,B18,B23)</f>
        <v>#REF!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</row>
    <row r="15" spans="1:13" s="18" customFormat="1">
      <c r="A15" s="15" t="s">
        <v>15</v>
      </c>
      <c r="B15" s="27" t="e">
        <f>SUM(B16:B17)</f>
        <v>#REF!</v>
      </c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</row>
    <row r="16" spans="1:13">
      <c r="A16" s="13" t="s">
        <v>16</v>
      </c>
      <c r="B16" s="25" t="e">
        <f>#REF!+#REF!+#REF!+#REF!+#REF!</f>
        <v>#REF!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</row>
    <row r="17" spans="1:13">
      <c r="A17" s="12" t="s">
        <v>22</v>
      </c>
      <c r="B17" s="25" t="e">
        <f>#REF!+#REF!+#REF!+#REF!+#REF!</f>
        <v>#REF!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</row>
    <row r="18" spans="1:13" s="18" customFormat="1">
      <c r="A18" s="15" t="s">
        <v>17</v>
      </c>
      <c r="B18" s="27" t="e">
        <f>SUM(B19:B22)</f>
        <v>#REF!</v>
      </c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</row>
    <row r="19" spans="1:13">
      <c r="A19" s="11" t="s">
        <v>21</v>
      </c>
      <c r="B19" s="25" t="e">
        <f>#REF!+#REF!+#REF!+#REF!+#REF!</f>
        <v>#REF!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</row>
    <row r="20" spans="1:13">
      <c r="A20" s="11" t="s">
        <v>18</v>
      </c>
      <c r="B20" s="25" t="e">
        <f>#REF!+#REF!+#REF!+#REF!+#REF!</f>
        <v>#REF!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</row>
    <row r="21" spans="1:13">
      <c r="A21" s="11" t="s">
        <v>19</v>
      </c>
      <c r="B21" s="25" t="e">
        <f>#REF!+#REF!+#REF!+#REF!+#REF!</f>
        <v>#REF!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</row>
    <row r="22" spans="1:13">
      <c r="A22" s="11" t="s">
        <v>20</v>
      </c>
      <c r="B22" s="25" t="s">
        <v>29</v>
      </c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1:13" s="18" customFormat="1">
      <c r="A23" s="21" t="s">
        <v>23</v>
      </c>
      <c r="B23" s="27" t="e">
        <f>SUM(B24)</f>
        <v>#REF!</v>
      </c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</row>
    <row r="24" spans="1:13">
      <c r="A24" s="11" t="s">
        <v>24</v>
      </c>
      <c r="B24" s="25" t="e">
        <f>#REF!</f>
        <v>#REF!</v>
      </c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</row>
    <row r="25" spans="1:13" s="4" customFormat="1">
      <c r="A25" s="8" t="s">
        <v>14</v>
      </c>
      <c r="B25" s="26" t="e">
        <f>SUM(B26,B29,B34)</f>
        <v>#REF!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</row>
    <row r="26" spans="1:13" s="18" customFormat="1">
      <c r="A26" s="15" t="s">
        <v>15</v>
      </c>
      <c r="B26" s="27" t="e">
        <f>SUM(B27:B28)</f>
        <v>#REF!</v>
      </c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</row>
    <row r="27" spans="1:13">
      <c r="A27" s="13" t="s">
        <v>16</v>
      </c>
      <c r="B27" s="25" t="e">
        <f>#REF!+#REF!+#REF!+#REF!</f>
        <v>#REF!</v>
      </c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</row>
    <row r="28" spans="1:13">
      <c r="A28" s="12" t="s">
        <v>22</v>
      </c>
      <c r="B28" s="25" t="e">
        <f>#REF!+#REF!+#REF!+#REF!</f>
        <v>#REF!</v>
      </c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</row>
    <row r="29" spans="1:13" s="18" customFormat="1">
      <c r="A29" s="15" t="s">
        <v>17</v>
      </c>
      <c r="B29" s="27" t="e">
        <f>SUM(B30:B33)</f>
        <v>#REF!</v>
      </c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</row>
    <row r="30" spans="1:13">
      <c r="A30" s="11" t="s">
        <v>21</v>
      </c>
      <c r="B30" s="25" t="e">
        <f>#REF!+#REF!+#REF!+#REF!</f>
        <v>#REF!</v>
      </c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</row>
    <row r="31" spans="1:13">
      <c r="A31" s="11" t="s">
        <v>18</v>
      </c>
      <c r="B31" s="25" t="e">
        <f>#REF!+#REF!+#REF!+#REF!</f>
        <v>#REF!</v>
      </c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</row>
    <row r="32" spans="1:13">
      <c r="A32" s="11" t="s">
        <v>19</v>
      </c>
      <c r="B32" s="25" t="e">
        <f>#REF!+#REF!+#REF!+#REF!</f>
        <v>#REF!</v>
      </c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</row>
    <row r="33" spans="1:13">
      <c r="A33" s="11" t="s">
        <v>20</v>
      </c>
      <c r="B33" s="25" t="e">
        <f>#REF!+#REF!+#REF!+#REF!</f>
        <v>#REF!</v>
      </c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</row>
    <row r="34" spans="1:13" s="18" customFormat="1">
      <c r="A34" s="21" t="s">
        <v>23</v>
      </c>
      <c r="B34" s="27" t="e">
        <f>SUM(B35)</f>
        <v>#REF!</v>
      </c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</row>
    <row r="35" spans="1:13">
      <c r="A35" s="11" t="s">
        <v>24</v>
      </c>
      <c r="B35" s="25" t="e">
        <f>#REF!</f>
        <v>#REF!</v>
      </c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</row>
  </sheetData>
  <pageMargins left="0.7" right="0.7" top="0.75" bottom="0.75" header="0.3" footer="0.3"/>
  <pageSetup paperSize="9" scale="86" orientation="landscape" r:id="rId1"/>
  <rowBreaks count="1" manualBreakCount="1">
    <brk id="24" max="16383" man="1"/>
  </rowBreaks>
</worksheet>
</file>

<file path=xl/worksheets/sheet10.xml><?xml version="1.0" encoding="utf-8"?>
<worksheet xmlns="http://schemas.openxmlformats.org/spreadsheetml/2006/main" xmlns:r="http://schemas.openxmlformats.org/officeDocument/2006/relationships">
  <dimension ref="A1:V67"/>
  <sheetViews>
    <sheetView workbookViewId="0">
      <selection activeCell="F13" sqref="F13"/>
    </sheetView>
  </sheetViews>
  <sheetFormatPr defaultRowHeight="23.25"/>
  <cols>
    <col min="1" max="1" width="23.75" style="1" bestFit="1" customWidth="1"/>
    <col min="2" max="2" width="11.375" style="1" hidden="1" customWidth="1"/>
    <col min="3" max="3" width="11.125" style="1" hidden="1" customWidth="1"/>
    <col min="4" max="4" width="12.25" style="1" hidden="1" customWidth="1"/>
    <col min="5" max="5" width="12.375" style="1" hidden="1" customWidth="1"/>
    <col min="6" max="6" width="13.125" style="1" customWidth="1"/>
    <col min="7" max="7" width="12" style="1" customWidth="1"/>
    <col min="8" max="8" width="12.5" style="1" bestFit="1" customWidth="1"/>
    <col min="9" max="9" width="13.5" style="1" customWidth="1"/>
    <col min="10" max="10" width="12.875" style="1" customWidth="1"/>
    <col min="11" max="11" width="14.875" style="1" customWidth="1"/>
    <col min="12" max="13" width="13.25" style="1" bestFit="1" customWidth="1"/>
    <col min="14" max="14" width="12" style="1" bestFit="1" customWidth="1"/>
    <col min="15" max="16384" width="9" style="1"/>
  </cols>
  <sheetData>
    <row r="1" spans="1:22" ht="25.5" customHeight="1">
      <c r="A1" s="154" t="s">
        <v>12</v>
      </c>
      <c r="B1" s="5"/>
      <c r="C1" s="5"/>
      <c r="D1" s="5"/>
      <c r="E1" s="10"/>
      <c r="F1" s="5"/>
      <c r="G1" s="5"/>
      <c r="H1" s="5"/>
      <c r="I1" s="5"/>
      <c r="J1" s="5"/>
      <c r="K1" s="5"/>
    </row>
    <row r="2" spans="1:22" s="115" customFormat="1" ht="17.25" customHeight="1">
      <c r="A2" s="155"/>
      <c r="B2" s="7" t="s">
        <v>73</v>
      </c>
      <c r="C2" s="7" t="s">
        <v>74</v>
      </c>
      <c r="D2" s="7" t="s">
        <v>75</v>
      </c>
      <c r="E2" s="7" t="s">
        <v>76</v>
      </c>
      <c r="F2" s="7" t="s">
        <v>77</v>
      </c>
      <c r="G2" s="7" t="s">
        <v>78</v>
      </c>
      <c r="H2" s="7" t="s">
        <v>79</v>
      </c>
      <c r="I2" s="7" t="s">
        <v>80</v>
      </c>
      <c r="J2" s="7" t="s">
        <v>81</v>
      </c>
      <c r="K2" s="7" t="s">
        <v>82</v>
      </c>
    </row>
    <row r="3" spans="1:22" s="118" customFormat="1">
      <c r="A3" s="8" t="s">
        <v>27</v>
      </c>
      <c r="B3" s="116">
        <f t="shared" ref="B3:K3" si="0">SUM(B4,B7,B12,B14,B16)</f>
        <v>0</v>
      </c>
      <c r="C3" s="116">
        <f t="shared" si="0"/>
        <v>0</v>
      </c>
      <c r="D3" s="116">
        <f t="shared" si="0"/>
        <v>0</v>
      </c>
      <c r="E3" s="116">
        <f t="shared" si="0"/>
        <v>0</v>
      </c>
      <c r="F3" s="116">
        <f>SUM(F4,F7,F12,F14,F16)</f>
        <v>14287366.299999999</v>
      </c>
      <c r="G3" s="116">
        <f t="shared" si="0"/>
        <v>0</v>
      </c>
      <c r="H3" s="116">
        <f t="shared" si="0"/>
        <v>0</v>
      </c>
      <c r="I3" s="116">
        <f t="shared" si="0"/>
        <v>0</v>
      </c>
      <c r="J3" s="116">
        <f t="shared" si="0"/>
        <v>0</v>
      </c>
      <c r="K3" s="116">
        <f t="shared" si="0"/>
        <v>0</v>
      </c>
      <c r="L3" s="117">
        <f>SUM(B3:K3)</f>
        <v>14287366.299999999</v>
      </c>
      <c r="N3" s="49"/>
    </row>
    <row r="4" spans="1:22" s="20" customFormat="1">
      <c r="A4" s="15" t="s">
        <v>15</v>
      </c>
      <c r="B4" s="22">
        <f t="shared" ref="B4:K4" si="1">SUM(B5:B6)</f>
        <v>0</v>
      </c>
      <c r="C4" s="22">
        <f t="shared" si="1"/>
        <v>0</v>
      </c>
      <c r="D4" s="22">
        <f t="shared" si="1"/>
        <v>0</v>
      </c>
      <c r="E4" s="22">
        <f>SUM(E5:E6)</f>
        <v>0</v>
      </c>
      <c r="F4" s="22">
        <f t="shared" si="1"/>
        <v>1592400</v>
      </c>
      <c r="G4" s="22">
        <f t="shared" si="1"/>
        <v>0</v>
      </c>
      <c r="H4" s="22">
        <f t="shared" si="1"/>
        <v>0</v>
      </c>
      <c r="I4" s="22">
        <f t="shared" si="1"/>
        <v>0</v>
      </c>
      <c r="J4" s="22">
        <f t="shared" si="1"/>
        <v>0</v>
      </c>
      <c r="K4" s="22">
        <f t="shared" si="1"/>
        <v>0</v>
      </c>
      <c r="L4" s="30"/>
      <c r="M4" s="30"/>
      <c r="N4" s="30"/>
    </row>
    <row r="5" spans="1:22">
      <c r="A5" s="13" t="s">
        <v>16</v>
      </c>
      <c r="B5" s="10">
        <f>+[1]ผลผลิต1!B5+[1]ผลผลิต2!B5+[1]ผลผลิต3!B5</f>
        <v>0</v>
      </c>
      <c r="C5" s="10">
        <f>+[1]ผลผลิต1!I21+[1]ผลผลิต2!I21+[1]ผลผลิต3!I21</f>
        <v>0</v>
      </c>
      <c r="D5" s="10">
        <f>+[1]ผลผลิต1!I5+[1]ผลผลิต2!I37+[1]ผลผลิต3!I37</f>
        <v>0</v>
      </c>
      <c r="E5" s="6"/>
      <c r="F5" s="10">
        <f>+[1]ผลผลิต1!I133+[1]ผลผลิต2!I133+[1]ผลผลิต3!I133</f>
        <v>0</v>
      </c>
      <c r="G5" s="10">
        <f>+[1]ผลผลิต1!I69+[1]ผลผลิต2!I69+[1]ผลผลิต3!I69</f>
        <v>0</v>
      </c>
      <c r="H5" s="10">
        <f>+[1]ผลผลิต1!I85+[1]ผลผลิต2!I85+[1]ผลผลิต3!I85</f>
        <v>0</v>
      </c>
      <c r="I5" s="10">
        <f>+[1]ผลผลิต1!I101+[1]ผลผลิต2!I101+[1]ผลผลิต3!I101</f>
        <v>0</v>
      </c>
      <c r="J5" s="10">
        <f>+[1]ผลผลิต1!I149+[1]ผลผลิต2!I149+[1]ผลผลิต3!I149</f>
        <v>0</v>
      </c>
      <c r="K5" s="10">
        <f>+[1]ผลผลิต1!I117+[1]ผลผลิต2!I117+[1]ผลผลิต3!I117</f>
        <v>0</v>
      </c>
      <c r="L5" s="44"/>
      <c r="M5" s="39"/>
    </row>
    <row r="6" spans="1:22">
      <c r="A6" s="12" t="s">
        <v>22</v>
      </c>
      <c r="B6" s="10">
        <f>+[1]ผลผลิต1!B6+[1]ผลผลิต2!B6+[1]ผลผลิต3!B6</f>
        <v>0</v>
      </c>
      <c r="C6" s="10">
        <f>+[1]ผลผลิต1!I22+[1]ผลผลิต2!I22+[1]ผลผลิต3!I22</f>
        <v>0</v>
      </c>
      <c r="D6" s="10">
        <f>+[1]ผลผลิต1!I6+[1]ผลผลิต2!I38+[1]ผลผลิต3!I38</f>
        <v>0</v>
      </c>
      <c r="E6" s="6"/>
      <c r="F6" s="10">
        <v>1592400</v>
      </c>
      <c r="G6" s="10">
        <f>+[1]ผลผลิต1!I70+[1]ผลผลิต2!I70+[1]ผลผลิต3!I70</f>
        <v>0</v>
      </c>
      <c r="H6" s="10">
        <f>+[1]ผลผลิต1!I86+[1]ผลผลิต2!I86+[1]ผลผลิต3!I86</f>
        <v>0</v>
      </c>
      <c r="I6" s="10">
        <f>+[1]ผลผลิต1!I102+[1]ผลผลิต2!I102+[1]ผลผลิต3!I102</f>
        <v>0</v>
      </c>
      <c r="J6" s="10">
        <f>+[1]ผลผลิต1!I150+[1]ผลผลิต2!I150+[1]ผลผลิต3!I150</f>
        <v>0</v>
      </c>
      <c r="K6" s="10">
        <f>+[1]ผลผลิต1!I118+[1]ผลผลิต2!I118+[1]ผลผลิต3!I118</f>
        <v>0</v>
      </c>
      <c r="L6" s="44"/>
      <c r="M6" s="39">
        <f>13487366.43-F3</f>
        <v>-799999.86999999918</v>
      </c>
    </row>
    <row r="7" spans="1:22" s="20" customFormat="1">
      <c r="A7" s="15" t="s">
        <v>17</v>
      </c>
      <c r="B7" s="22">
        <f t="shared" ref="B7:I7" si="2">SUM(B8:B11)</f>
        <v>0</v>
      </c>
      <c r="C7" s="22">
        <f>SUM(C8:C11)</f>
        <v>0</v>
      </c>
      <c r="D7" s="22">
        <f t="shared" si="2"/>
        <v>0</v>
      </c>
      <c r="E7" s="22">
        <f t="shared" si="2"/>
        <v>0</v>
      </c>
      <c r="F7" s="22">
        <f>SUM(F8:F11)</f>
        <v>3131164.01</v>
      </c>
      <c r="G7" s="22">
        <f t="shared" si="2"/>
        <v>0</v>
      </c>
      <c r="H7" s="22">
        <f t="shared" si="2"/>
        <v>0</v>
      </c>
      <c r="I7" s="22">
        <f t="shared" si="2"/>
        <v>0</v>
      </c>
      <c r="J7" s="22">
        <f>SUM(J8:J11)</f>
        <v>0</v>
      </c>
      <c r="K7" s="22">
        <f>SUM(K8:K11)</f>
        <v>0</v>
      </c>
      <c r="L7" s="30"/>
      <c r="M7" s="30"/>
    </row>
    <row r="8" spans="1:22">
      <c r="A8" s="11" t="s">
        <v>21</v>
      </c>
      <c r="B8" s="10"/>
      <c r="C8" s="10"/>
      <c r="D8" s="10"/>
      <c r="E8" s="10"/>
      <c r="F8" s="10">
        <f>79760+348400</f>
        <v>428160</v>
      </c>
      <c r="G8" s="10"/>
      <c r="H8" s="10"/>
      <c r="I8" s="10"/>
      <c r="J8" s="10"/>
      <c r="K8" s="10"/>
      <c r="M8" s="44"/>
    </row>
    <row r="9" spans="1:22">
      <c r="A9" s="11" t="s">
        <v>18</v>
      </c>
      <c r="B9" s="10"/>
      <c r="C9" s="10"/>
      <c r="D9" s="10"/>
      <c r="E9" s="10"/>
      <c r="F9" s="10">
        <f>1677565.14+18950.3+475192.53+54750+30514.7</f>
        <v>2256972.67</v>
      </c>
      <c r="G9" s="10"/>
      <c r="H9" s="10"/>
      <c r="I9" s="10"/>
      <c r="J9" s="10"/>
      <c r="K9" s="10"/>
      <c r="M9" s="44"/>
    </row>
    <row r="10" spans="1:22">
      <c r="A10" s="11" t="s">
        <v>19</v>
      </c>
      <c r="B10" s="10"/>
      <c r="C10" s="10"/>
      <c r="D10" s="10"/>
      <c r="E10" s="10"/>
      <c r="F10" s="10">
        <v>446031.34</v>
      </c>
      <c r="G10" s="10"/>
      <c r="H10" s="10"/>
      <c r="I10" s="10"/>
      <c r="J10" s="10"/>
      <c r="K10" s="10"/>
      <c r="L10" s="44"/>
      <c r="M10" s="44"/>
    </row>
    <row r="11" spans="1:22">
      <c r="A11" s="11" t="s">
        <v>31</v>
      </c>
      <c r="B11" s="10">
        <f>+[1]ผลผลิต1!B11+[1]ผลผลิต2!B11+[1]ผลผลิต3!B11</f>
        <v>0</v>
      </c>
      <c r="C11" s="10">
        <f>+[1]ผลผลิต1!B27+[1]ผลผลิต2!B27+[1]ผลผลิต3!B27+[1]โครงการ!B22</f>
        <v>0</v>
      </c>
      <c r="D11" s="10">
        <f>+[1]ผลผลิต1!B43+[1]ผลผลิต2!B43+[1]ผลผลิต3!B43</f>
        <v>0</v>
      </c>
      <c r="E11" s="10"/>
      <c r="F11" s="10"/>
      <c r="G11" s="10"/>
      <c r="H11" s="10"/>
      <c r="I11" s="10"/>
      <c r="J11" s="10"/>
      <c r="K11" s="10"/>
      <c r="M11" s="44"/>
    </row>
    <row r="12" spans="1:22" s="121" customFormat="1">
      <c r="A12" s="23" t="s">
        <v>30</v>
      </c>
      <c r="B12" s="46">
        <f t="shared" ref="B12:K12" si="3">SUM(B13)</f>
        <v>0</v>
      </c>
      <c r="C12" s="46">
        <f t="shared" si="3"/>
        <v>0</v>
      </c>
      <c r="D12" s="46">
        <f>SUM(D13)</f>
        <v>0</v>
      </c>
      <c r="E12" s="46">
        <f t="shared" si="3"/>
        <v>0</v>
      </c>
      <c r="F12" s="46">
        <f>SUM(F13)</f>
        <v>4463802.2899999991</v>
      </c>
      <c r="G12" s="46">
        <f t="shared" si="3"/>
        <v>0</v>
      </c>
      <c r="H12" s="46">
        <f>SUM(H13)</f>
        <v>0</v>
      </c>
      <c r="I12" s="46">
        <f>SUM(I13)</f>
        <v>0</v>
      </c>
      <c r="J12" s="46">
        <f>SUM(J13)</f>
        <v>0</v>
      </c>
      <c r="K12" s="46">
        <f t="shared" si="3"/>
        <v>0</v>
      </c>
      <c r="L12" s="119"/>
      <c r="M12" s="120"/>
      <c r="N12" s="120"/>
      <c r="O12" s="120"/>
      <c r="P12" s="120"/>
      <c r="Q12" s="120"/>
      <c r="R12" s="120"/>
      <c r="S12" s="120"/>
      <c r="T12" s="120"/>
      <c r="U12" s="120"/>
      <c r="V12" s="120"/>
    </row>
    <row r="13" spans="1:22" s="5" customFormat="1">
      <c r="A13" s="34" t="s">
        <v>25</v>
      </c>
      <c r="B13" s="10">
        <f>+[1]ผลผลิต1!B13+[1]ผลผลิต2!B13+[1]ผลผลิต3!B13+[1]โครงการ!B16</f>
        <v>0</v>
      </c>
      <c r="C13" s="10">
        <f>+[1]ผลผลิต1!B29+[1]ผลผลิต2!B29+[1]ผลผลิต3!B29+[1]โครงการ!B23</f>
        <v>0</v>
      </c>
      <c r="D13" s="10">
        <f>+[1]ผลผลิต1!B45+[1]ผลผลิต2!B45+[1]ผลผลิต3!B45+[1]โครงการ!B30</f>
        <v>0</v>
      </c>
      <c r="E13" s="10">
        <f>+[1]ผลผลิต1!B61+[1]ผลผลิต2!B61+[1]ผลผลิต3!B61+[1]โครงการ!B37</f>
        <v>0</v>
      </c>
      <c r="F13" s="10">
        <f>2341201.3+419503.01+194205+239806.44+469086.67+799999.87</f>
        <v>4463802.2899999991</v>
      </c>
      <c r="G13" s="10"/>
      <c r="H13" s="10"/>
      <c r="I13" s="10"/>
      <c r="J13" s="10"/>
      <c r="K13" s="10"/>
    </row>
    <row r="14" spans="1:22" s="23" customFormat="1">
      <c r="A14" s="23" t="s">
        <v>35</v>
      </c>
      <c r="B14" s="46">
        <f>SUM(B156)</f>
        <v>0</v>
      </c>
      <c r="C14" s="46">
        <f>SUM(C156)</f>
        <v>0</v>
      </c>
      <c r="D14" s="46">
        <f>SUM(D156)</f>
        <v>0</v>
      </c>
      <c r="E14" s="46">
        <f>SUM(E156)</f>
        <v>0</v>
      </c>
      <c r="F14" s="46">
        <f t="shared" ref="F14:K14" si="4">SUM(F15)</f>
        <v>5100000</v>
      </c>
      <c r="G14" s="46">
        <f t="shared" si="4"/>
        <v>0</v>
      </c>
      <c r="H14" s="46">
        <f t="shared" si="4"/>
        <v>0</v>
      </c>
      <c r="I14" s="46">
        <f t="shared" si="4"/>
        <v>0</v>
      </c>
      <c r="J14" s="46">
        <f t="shared" si="4"/>
        <v>0</v>
      </c>
      <c r="K14" s="46">
        <f t="shared" si="4"/>
        <v>0</v>
      </c>
      <c r="L14" s="46"/>
    </row>
    <row r="15" spans="1:22" s="5" customFormat="1">
      <c r="A15" s="5" t="s">
        <v>37</v>
      </c>
      <c r="B15" s="10">
        <f>+[1]ผลผลิต1!B15+[1]ผลผลิต2!B15+[1]ผลผลิต3!B15</f>
        <v>0</v>
      </c>
      <c r="C15" s="10">
        <f>+[1]ผลผลิต1!B31+[1]ผลผลิต2!B31+[1]ผลผลิต3!B31</f>
        <v>0</v>
      </c>
      <c r="D15" s="10">
        <f>+[1]ผลผลิต1!B47+[1]ผลผลิต2!B47+[1]ผลผลิต3!B47</f>
        <v>0</v>
      </c>
      <c r="E15" s="10">
        <f>+[1]ผลผลิต1!B63+[1]ผลผลิต2!B63+[1]ผลผลิต3!B63</f>
        <v>0</v>
      </c>
      <c r="F15" s="10">
        <v>5100000</v>
      </c>
      <c r="G15" s="10">
        <f>+[1]ผลผลิต1!B79+[1]ผลผลิต2!B79+[1]ผลผลิต3!B79</f>
        <v>0</v>
      </c>
      <c r="H15" s="10">
        <f>+[1]ผลผลิต1!B95+[1]ผลผลิต2!B95+[1]ผลผลิต3!B95</f>
        <v>0</v>
      </c>
      <c r="I15" s="10">
        <f>+[1]ผลผลิต1!B111+[1]ผลผลิต2!B111+[1]ผลผลิต3!B111</f>
        <v>0</v>
      </c>
      <c r="J15" s="10">
        <f>+[1]ผลผลิต1!B159+[1]ผลผลิต2!B159+[1]ผลผลิต3!B159</f>
        <v>0</v>
      </c>
      <c r="K15" s="10">
        <f>+[1]ผลผลิต1!B127+[1]ผลผลิต2!B127+[1]ผลผลิต3!B127</f>
        <v>0</v>
      </c>
    </row>
    <row r="16" spans="1:22" s="23" customFormat="1">
      <c r="A16" s="23" t="s">
        <v>39</v>
      </c>
      <c r="B16" s="46">
        <f t="shared" ref="B16:K16" si="5">SUM(B17:B18)</f>
        <v>0</v>
      </c>
      <c r="C16" s="46">
        <f t="shared" si="5"/>
        <v>0</v>
      </c>
      <c r="D16" s="46">
        <f>SUM(D17:D18)</f>
        <v>0</v>
      </c>
      <c r="E16" s="46">
        <f t="shared" si="5"/>
        <v>0</v>
      </c>
      <c r="F16" s="46">
        <f t="shared" si="5"/>
        <v>0</v>
      </c>
      <c r="G16" s="46">
        <f t="shared" si="5"/>
        <v>0</v>
      </c>
      <c r="H16" s="46">
        <f t="shared" si="5"/>
        <v>0</v>
      </c>
      <c r="I16" s="46">
        <f t="shared" si="5"/>
        <v>0</v>
      </c>
      <c r="J16" s="46">
        <f t="shared" si="5"/>
        <v>0</v>
      </c>
      <c r="K16" s="46">
        <f t="shared" si="5"/>
        <v>0</v>
      </c>
      <c r="L16" s="46"/>
    </row>
    <row r="17" spans="1:12" s="123" customFormat="1">
      <c r="A17" s="5" t="s">
        <v>40</v>
      </c>
      <c r="B17" s="10">
        <f>+[1]ผลผลิต1!B17+[1]ผลผลิต2!B17+[1]ผลผลิต3!B17</f>
        <v>0</v>
      </c>
      <c r="C17" s="10">
        <f>+[1]ผลผลิต1!B33+[1]ผลผลิต2!B33+[1]ผลผลิต3!B33</f>
        <v>0</v>
      </c>
      <c r="D17" s="10">
        <f>+[1]ผลผลิต1!B49+[1]ผลผลิต2!B49+[1]ผลผลิต3!B49</f>
        <v>0</v>
      </c>
      <c r="E17" s="10">
        <f>+[1]ผลผลิต1!B65+[1]ผลผลิต2!B65+[1]ผลผลิต3!B65</f>
        <v>0</v>
      </c>
      <c r="F17" s="10">
        <f>+[1]ผลผลิต1!B145+[1]ผลผลิต2!B145+[1]ผลผลิต3!B145</f>
        <v>0</v>
      </c>
      <c r="G17" s="10">
        <f>+[1]ผลผลิต1!B81+[1]ผลผลิต2!B81+[1]ผลผลิต3!B81</f>
        <v>0</v>
      </c>
      <c r="H17" s="10">
        <f>+[1]ผลผลิต1!B97+[1]ผลผลิต2!B97+[1]ผลผลิต3!B97</f>
        <v>0</v>
      </c>
      <c r="I17" s="10">
        <f>+[1]ผลผลิต1!B113+[1]ผลผลิต2!B113+[1]ผลผลิต3!B113</f>
        <v>0</v>
      </c>
      <c r="J17" s="10">
        <f>+[1]ผลผลิต1!B161+[1]ผลผลิต2!B161+[1]ผลผลิต3!B161</f>
        <v>0</v>
      </c>
      <c r="K17" s="10">
        <f>+[1]ผลผลิต1!B129+[1]ผลผลิต2!B129+[1]ผลผลิต3!B129</f>
        <v>0</v>
      </c>
      <c r="L17" s="122"/>
    </row>
    <row r="18" spans="1:12" s="123" customFormat="1">
      <c r="A18" s="5" t="s">
        <v>38</v>
      </c>
      <c r="B18" s="10">
        <f>+[1]ผลผลิต1!B18+[1]ผลผลิต2!B18+[1]ผลผลิต3!B18</f>
        <v>0</v>
      </c>
      <c r="C18" s="10">
        <f>+[1]ผลผลิต1!B34+[1]ผลผลิต2!B34+[1]ผลผลิต3!B34</f>
        <v>0</v>
      </c>
      <c r="D18" s="10">
        <f>+[1]ผลผลิต1!B50+[1]ผลผลิต2!B50+[1]ผลผลิต3!B50</f>
        <v>0</v>
      </c>
      <c r="E18" s="10">
        <f>+[1]ผลผลิต1!B66+[1]ผลผลิต2!B66+[1]ผลผลิต3!B66</f>
        <v>0</v>
      </c>
      <c r="F18" s="10">
        <f>+[1]ผลผลิต1!B146+[1]ผลผลิต2!B146+[1]ผลผลิต3!B146</f>
        <v>0</v>
      </c>
      <c r="G18" s="10">
        <f>+[1]ผลผลิต1!B82+[1]ผลผลิต2!B82+[1]ผลผลิต3!B82</f>
        <v>0</v>
      </c>
      <c r="H18" s="10">
        <f>+[1]ผลผลิต1!B98+[1]ผลผลิต2!B98+[1]ผลผลิต3!B98</f>
        <v>0</v>
      </c>
      <c r="I18" s="10">
        <f>+[1]ผลผลิต1!B114+[1]ผลผลิต2!B114+[1]ผลผลิต3!B114</f>
        <v>0</v>
      </c>
      <c r="J18" s="10">
        <f>+[1]ผลผลิต1!B162+[1]ผลผลิต2!B162+[1]ผลผลิต3!B162</f>
        <v>0</v>
      </c>
      <c r="K18" s="10">
        <f>+[1]ผลผลิต1!B130+[1]ผลผลิต2!B130+[1]ผลผลิต3!B130</f>
        <v>0</v>
      </c>
      <c r="L18" s="122"/>
    </row>
    <row r="19" spans="1:12" s="123" customFormat="1">
      <c r="B19" s="122"/>
      <c r="C19" s="122"/>
      <c r="E19" s="122"/>
      <c r="F19" s="122"/>
      <c r="H19" s="122"/>
      <c r="I19" s="122"/>
      <c r="K19" s="124"/>
    </row>
    <row r="20" spans="1:12" s="123" customFormat="1">
      <c r="B20" s="122"/>
      <c r="E20" s="122"/>
      <c r="G20" s="122"/>
    </row>
    <row r="21" spans="1:12" s="125" customFormat="1">
      <c r="B21" s="126"/>
      <c r="F21" s="126"/>
      <c r="I21" s="126"/>
    </row>
    <row r="22" spans="1:12" s="18" customFormat="1">
      <c r="A22" s="1"/>
      <c r="B22" s="1"/>
      <c r="C22" s="1"/>
      <c r="D22" s="1"/>
      <c r="E22" s="1"/>
      <c r="F22" s="1"/>
      <c r="G22" s="1"/>
      <c r="H22" s="44"/>
      <c r="I22" s="1"/>
      <c r="J22" s="44"/>
      <c r="K22" s="1"/>
    </row>
    <row r="23" spans="1:12">
      <c r="F23" s="39"/>
      <c r="H23" s="39"/>
    </row>
    <row r="24" spans="1:12">
      <c r="E24" s="44"/>
    </row>
    <row r="25" spans="1:12" s="18" customFormat="1">
      <c r="A25" s="1"/>
      <c r="B25" s="1"/>
      <c r="C25" s="1"/>
      <c r="D25" s="1"/>
      <c r="E25" s="1"/>
      <c r="F25" s="1"/>
      <c r="G25" s="1"/>
      <c r="H25" s="39"/>
      <c r="I25" s="1"/>
      <c r="J25" s="1"/>
      <c r="K25" s="1"/>
    </row>
    <row r="27" spans="1:12">
      <c r="D27" s="39"/>
      <c r="K27" s="39"/>
    </row>
    <row r="28" spans="1:12">
      <c r="D28" s="44"/>
    </row>
    <row r="29" spans="1:12">
      <c r="D29" s="44"/>
      <c r="I29" s="44"/>
    </row>
    <row r="30" spans="1:12" s="4" customFormat="1">
      <c r="A30" s="1"/>
      <c r="B30" s="1"/>
      <c r="C30" s="1"/>
      <c r="D30" s="1"/>
      <c r="E30" s="1"/>
      <c r="F30" s="1"/>
      <c r="G30" s="1"/>
      <c r="H30" s="1"/>
      <c r="I30" s="44"/>
      <c r="J30" s="1"/>
      <c r="K30" s="1"/>
    </row>
    <row r="31" spans="1:12" s="18" customForma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</row>
    <row r="32" spans="1:12">
      <c r="E32" s="39"/>
    </row>
    <row r="34" spans="1:11" s="18" customFormat="1">
      <c r="A34" s="1"/>
      <c r="B34" s="1"/>
      <c r="C34" s="1"/>
      <c r="D34" s="1"/>
      <c r="E34" s="1">
        <f>1322124.55+1772522.59</f>
        <v>3094647.14</v>
      </c>
      <c r="F34" s="1"/>
      <c r="G34" s="1"/>
      <c r="H34" s="1"/>
      <c r="I34" s="1"/>
      <c r="J34" s="1"/>
      <c r="K34" s="1"/>
    </row>
    <row r="35" spans="1:11">
      <c r="E35" s="44">
        <f>+E32+E34</f>
        <v>3094647.14</v>
      </c>
    </row>
    <row r="39" spans="1:11" s="4" customForma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</row>
    <row r="40" spans="1:11" s="18" customForma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</row>
    <row r="43" spans="1:11" s="18" customForma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</row>
    <row r="48" spans="1:11" s="4" customForma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</row>
    <row r="49" spans="1:11" s="18" customForma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</row>
    <row r="52" spans="1:11" s="18" customForma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</row>
    <row r="57" spans="1:11" s="4" customForma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</row>
    <row r="58" spans="1:11" s="20" customForma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</row>
    <row r="61" spans="1:11" s="20" customForma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</row>
    <row r="66" spans="1:11" s="20" customForma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</row>
    <row r="67" spans="1:11" s="32" customForma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</row>
  </sheetData>
  <mergeCells count="1">
    <mergeCell ref="A1:A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8"/>
  <sheetViews>
    <sheetView workbookViewId="0">
      <selection activeCell="H3" sqref="H3"/>
    </sheetView>
  </sheetViews>
  <sheetFormatPr defaultRowHeight="21"/>
  <cols>
    <col min="1" max="1" width="23.75" style="127" bestFit="1" customWidth="1"/>
    <col min="2" max="2" width="13.625" style="128" customWidth="1"/>
    <col min="3" max="5" width="13.625" style="127" customWidth="1"/>
    <col min="6" max="16384" width="9" style="127"/>
  </cols>
  <sheetData>
    <row r="1" spans="1:6">
      <c r="A1" s="156" t="s">
        <v>89</v>
      </c>
      <c r="B1" s="156"/>
      <c r="C1" s="156"/>
      <c r="D1" s="156"/>
      <c r="E1" s="156"/>
    </row>
    <row r="3" spans="1:6" ht="25.5" customHeight="1">
      <c r="A3" s="129" t="s">
        <v>84</v>
      </c>
      <c r="B3" s="130" t="s">
        <v>85</v>
      </c>
      <c r="C3" s="131" t="s">
        <v>86</v>
      </c>
      <c r="D3" s="131" t="s">
        <v>87</v>
      </c>
      <c r="E3" s="131" t="s">
        <v>83</v>
      </c>
    </row>
    <row r="4" spans="1:6" s="135" customFormat="1">
      <c r="A4" s="132" t="s">
        <v>27</v>
      </c>
      <c r="B4" s="133">
        <f>+B8+B13+B15+B17</f>
        <v>36607700</v>
      </c>
      <c r="C4" s="134">
        <f>SUM(C8,C13,C15,C17)</f>
        <v>12694966.299999999</v>
      </c>
      <c r="D4" s="134">
        <f>SUM(D8,D13,D15,D17)</f>
        <v>95690.1</v>
      </c>
      <c r="E4" s="134">
        <f>(C4/B4)*100</f>
        <v>34.678404543306463</v>
      </c>
    </row>
    <row r="5" spans="1:6" s="135" customFormat="1">
      <c r="A5" s="136" t="s">
        <v>15</v>
      </c>
      <c r="B5" s="137">
        <v>0</v>
      </c>
      <c r="C5" s="138">
        <f t="shared" ref="C5:E5" si="0">SUM(C6:C7)</f>
        <v>1592400</v>
      </c>
      <c r="D5" s="138"/>
      <c r="E5" s="138">
        <f t="shared" si="0"/>
        <v>0</v>
      </c>
    </row>
    <row r="6" spans="1:6">
      <c r="A6" s="139" t="s">
        <v>16</v>
      </c>
      <c r="B6" s="140"/>
      <c r="C6" s="141">
        <f>+[1]ผลผลิต1!I133+[1]ผลผลิต2!I133+[1]ผลผลิต3!I133</f>
        <v>0</v>
      </c>
      <c r="D6" s="141"/>
      <c r="E6" s="141">
        <f>+[1]ผลผลิต1!I69+[1]ผลผลิต2!I69+[1]ผลผลิต3!I69</f>
        <v>0</v>
      </c>
    </row>
    <row r="7" spans="1:6">
      <c r="A7" s="142" t="s">
        <v>22</v>
      </c>
      <c r="B7" s="143"/>
      <c r="C7" s="141">
        <v>1592400</v>
      </c>
      <c r="D7" s="141"/>
      <c r="E7" s="141">
        <f>+[1]ผลผลิต1!I70+[1]ผลผลิต2!I70+[1]ผลผลิต3!I70</f>
        <v>0</v>
      </c>
    </row>
    <row r="8" spans="1:6" s="135" customFormat="1">
      <c r="A8" s="136" t="s">
        <v>17</v>
      </c>
      <c r="B8" s="137">
        <v>7250000</v>
      </c>
      <c r="C8" s="138">
        <f>SUM(C9:C12)</f>
        <v>3131164.01</v>
      </c>
      <c r="D8" s="138">
        <f>SUM(D9:D12)</f>
        <v>0</v>
      </c>
      <c r="E8" s="138">
        <f>(C8/B8)*100</f>
        <v>43.188469103448277</v>
      </c>
    </row>
    <row r="9" spans="1:6">
      <c r="A9" s="139" t="s">
        <v>21</v>
      </c>
      <c r="B9" s="140"/>
      <c r="C9" s="141">
        <f>79760+348400</f>
        <v>428160</v>
      </c>
      <c r="D9" s="141"/>
      <c r="E9" s="141"/>
    </row>
    <row r="10" spans="1:6">
      <c r="A10" s="139" t="s">
        <v>18</v>
      </c>
      <c r="B10" s="140"/>
      <c r="C10" s="141">
        <f>1677565.14+18950.3+475192.53+54750+30514.7</f>
        <v>2256972.67</v>
      </c>
      <c r="D10" s="141"/>
      <c r="E10" s="141"/>
    </row>
    <row r="11" spans="1:6">
      <c r="A11" s="139" t="s">
        <v>19</v>
      </c>
      <c r="B11" s="140"/>
      <c r="C11" s="141">
        <v>446031.34</v>
      </c>
      <c r="D11" s="141"/>
      <c r="E11" s="141"/>
    </row>
    <row r="12" spans="1:6">
      <c r="A12" s="139" t="s">
        <v>31</v>
      </c>
      <c r="B12" s="140"/>
      <c r="C12" s="141"/>
      <c r="D12" s="141"/>
      <c r="E12" s="141"/>
    </row>
    <row r="13" spans="1:6" s="135" customFormat="1">
      <c r="A13" s="144" t="s">
        <v>30</v>
      </c>
      <c r="B13" s="138">
        <v>24257700</v>
      </c>
      <c r="C13" s="145">
        <f>SUM(C14)</f>
        <v>4463802.2899999991</v>
      </c>
      <c r="D13" s="145">
        <f>SUM(D14)</f>
        <v>95690.1</v>
      </c>
      <c r="E13" s="138">
        <f>(C13/B13)*100</f>
        <v>18.401589144890075</v>
      </c>
      <c r="F13" s="135" t="s">
        <v>88</v>
      </c>
    </row>
    <row r="14" spans="1:6">
      <c r="A14" s="146" t="s">
        <v>25</v>
      </c>
      <c r="B14" s="147"/>
      <c r="C14" s="141">
        <f>2341201.3+419503.01+194205+239806.44+469086.67+799999.87</f>
        <v>4463802.2899999991</v>
      </c>
      <c r="D14" s="141">
        <v>95690.1</v>
      </c>
      <c r="E14" s="141"/>
    </row>
    <row r="15" spans="1:6" s="135" customFormat="1">
      <c r="A15" s="144" t="s">
        <v>35</v>
      </c>
      <c r="B15" s="138">
        <v>5100000</v>
      </c>
      <c r="C15" s="145">
        <f t="shared" ref="C15:D15" si="1">SUM(C16)</f>
        <v>5100000</v>
      </c>
      <c r="D15" s="145">
        <f t="shared" si="1"/>
        <v>0</v>
      </c>
      <c r="E15" s="138">
        <f>(C15/B15)*100</f>
        <v>100</v>
      </c>
    </row>
    <row r="16" spans="1:6">
      <c r="A16" s="148" t="s">
        <v>37</v>
      </c>
      <c r="B16" s="149"/>
      <c r="C16" s="141">
        <v>5100000</v>
      </c>
      <c r="D16" s="141"/>
      <c r="E16" s="141">
        <f>+[1]ผลผลิต1!B79+[1]ผลผลิต2!B79+[1]ผลผลิต3!B79</f>
        <v>0</v>
      </c>
    </row>
    <row r="17" spans="1:5" s="135" customFormat="1">
      <c r="A17" s="144" t="s">
        <v>39</v>
      </c>
      <c r="B17" s="138">
        <v>0</v>
      </c>
      <c r="C17" s="145">
        <f t="shared" ref="C17:D17" si="2">SUM(C18:C19)</f>
        <v>0</v>
      </c>
      <c r="D17" s="145">
        <f t="shared" si="2"/>
        <v>0</v>
      </c>
      <c r="E17" s="138">
        <v>0</v>
      </c>
    </row>
    <row r="18" spans="1:5">
      <c r="A18" s="148" t="s">
        <v>40</v>
      </c>
      <c r="B18" s="149"/>
      <c r="C18" s="141">
        <f>+[1]ผลผลิต1!B145+[1]ผลผลิต2!B145+[1]ผลผลิต3!B145</f>
        <v>0</v>
      </c>
      <c r="D18" s="141"/>
      <c r="E18" s="141">
        <f>+[1]ผลผลิต1!B81+[1]ผลผลิต2!B81+[1]ผลผลิต3!B81</f>
        <v>0</v>
      </c>
    </row>
    <row r="19" spans="1:5">
      <c r="A19" s="148" t="s">
        <v>38</v>
      </c>
      <c r="B19" s="149"/>
      <c r="C19" s="141">
        <f>+[1]ผลผลิต1!B146+[1]ผลผลิต2!B146+[1]ผลผลิต3!B146</f>
        <v>0</v>
      </c>
      <c r="D19" s="141"/>
      <c r="E19" s="141">
        <f>+[1]ผลผลิต1!B82+[1]ผลผลิต2!B82+[1]ผลผลิต3!B82</f>
        <v>0</v>
      </c>
    </row>
    <row r="20" spans="1:5">
      <c r="C20" s="150"/>
      <c r="D20" s="150"/>
    </row>
    <row r="21" spans="1:5">
      <c r="E21" s="150"/>
    </row>
    <row r="22" spans="1:5">
      <c r="C22" s="150"/>
      <c r="D22" s="150"/>
    </row>
    <row r="24" spans="1:5">
      <c r="C24" s="128"/>
      <c r="D24" s="128"/>
    </row>
    <row r="59" spans="1:5" s="135" customFormat="1">
      <c r="A59" s="127"/>
      <c r="B59" s="128"/>
      <c r="C59" s="127"/>
      <c r="D59" s="127"/>
      <c r="E59" s="127"/>
    </row>
    <row r="62" spans="1:5" s="135" customFormat="1">
      <c r="A62" s="127"/>
      <c r="B62" s="128"/>
      <c r="C62" s="127"/>
      <c r="D62" s="127"/>
      <c r="E62" s="127"/>
    </row>
    <row r="67" spans="1:5" s="135" customFormat="1">
      <c r="A67" s="127"/>
      <c r="B67" s="128"/>
      <c r="C67" s="127"/>
      <c r="D67" s="127"/>
      <c r="E67" s="127"/>
    </row>
    <row r="68" spans="1:5" s="135" customFormat="1">
      <c r="A68" s="127"/>
      <c r="B68" s="128"/>
      <c r="C68" s="127"/>
      <c r="D68" s="127"/>
      <c r="E68" s="127"/>
    </row>
  </sheetData>
  <mergeCells count="1">
    <mergeCell ref="A1:E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P18"/>
  <sheetViews>
    <sheetView zoomScaleNormal="100" zoomScaleSheetLayoutView="85" workbookViewId="0">
      <selection activeCell="J10" sqref="J10"/>
    </sheetView>
  </sheetViews>
  <sheetFormatPr defaultRowHeight="23.25"/>
  <cols>
    <col min="1" max="1" width="23.75" style="1" bestFit="1" customWidth="1"/>
    <col min="2" max="2" width="14.375" style="39" hidden="1" customWidth="1"/>
    <col min="3" max="3" width="11.75" style="39" hidden="1" customWidth="1"/>
    <col min="4" max="5" width="12.625" style="39" hidden="1" customWidth="1"/>
    <col min="6" max="6" width="12.25" style="39" customWidth="1"/>
    <col min="7" max="9" width="12.5" style="39" customWidth="1"/>
    <col min="10" max="10" width="12.375" style="39" bestFit="1" customWidth="1"/>
    <col min="11" max="11" width="13.125" style="39" customWidth="1"/>
    <col min="12" max="13" width="12.375" style="39" bestFit="1" customWidth="1"/>
    <col min="14" max="15" width="13.25" style="1" bestFit="1" customWidth="1"/>
    <col min="16" max="16" width="12.375" style="1" bestFit="1" customWidth="1"/>
    <col min="17" max="16384" width="9" style="1"/>
  </cols>
  <sheetData>
    <row r="1" spans="1:16" ht="25.5" customHeight="1">
      <c r="A1" s="99" t="s">
        <v>13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</row>
    <row r="2" spans="1:16" s="43" customFormat="1" ht="17.25" customHeight="1">
      <c r="A2" s="40" t="s">
        <v>12</v>
      </c>
      <c r="B2" s="41" t="s">
        <v>57</v>
      </c>
      <c r="C2" s="40" t="s">
        <v>58</v>
      </c>
      <c r="D2" s="42" t="s">
        <v>59</v>
      </c>
      <c r="E2" s="40" t="s">
        <v>60</v>
      </c>
      <c r="F2" s="40" t="s">
        <v>61</v>
      </c>
      <c r="G2" s="40" t="s">
        <v>62</v>
      </c>
      <c r="H2" s="40" t="s">
        <v>63</v>
      </c>
      <c r="I2" s="40" t="s">
        <v>64</v>
      </c>
      <c r="J2" s="40" t="s">
        <v>65</v>
      </c>
      <c r="K2" s="40" t="s">
        <v>66</v>
      </c>
      <c r="L2" s="40" t="s">
        <v>67</v>
      </c>
      <c r="M2" s="40" t="s">
        <v>68</v>
      </c>
    </row>
    <row r="3" spans="1:16" s="18" customFormat="1">
      <c r="A3" s="8" t="s">
        <v>27</v>
      </c>
      <c r="B3" s="3">
        <f>SUM(B4,B7,B12,B14,B16)</f>
        <v>6738767.9200000009</v>
      </c>
      <c r="C3" s="3">
        <f t="shared" ref="C3:M3" si="0">SUM(C4,C7,C12,C14,C16)</f>
        <v>13418112.32</v>
      </c>
      <c r="D3" s="3">
        <f t="shared" si="0"/>
        <v>20572832.259999998</v>
      </c>
      <c r="E3" s="3">
        <f t="shared" si="0"/>
        <v>27265244.699999999</v>
      </c>
      <c r="F3" s="3">
        <f t="shared" si="0"/>
        <v>33947635.380000003</v>
      </c>
      <c r="G3" s="3">
        <f t="shared" si="0"/>
        <v>40670126.399999999</v>
      </c>
      <c r="H3" s="3">
        <f t="shared" si="0"/>
        <v>47407011.839999996</v>
      </c>
      <c r="I3" s="3">
        <f t="shared" si="0"/>
        <v>54187440.839999996</v>
      </c>
      <c r="J3" s="3">
        <f t="shared" si="0"/>
        <v>61389694.839999996</v>
      </c>
      <c r="K3" s="3">
        <f t="shared" si="0"/>
        <v>0</v>
      </c>
      <c r="L3" s="3">
        <f t="shared" si="0"/>
        <v>0</v>
      </c>
      <c r="M3" s="3">
        <f t="shared" si="0"/>
        <v>0</v>
      </c>
      <c r="N3" s="53"/>
      <c r="O3" s="53"/>
    </row>
    <row r="4" spans="1:16">
      <c r="A4" s="15" t="s">
        <v>15</v>
      </c>
      <c r="B4" s="16">
        <f>SUM(B5:B6)</f>
        <v>6555548.5500000007</v>
      </c>
      <c r="C4" s="16">
        <f>SUM(C5:C6)</f>
        <v>13048762.58</v>
      </c>
      <c r="D4" s="16">
        <f t="shared" ref="D4:M4" si="1">SUM(D5:D6)</f>
        <v>20025162.52</v>
      </c>
      <c r="E4" s="16">
        <f t="shared" si="1"/>
        <v>26498460.960000001</v>
      </c>
      <c r="F4" s="16">
        <f t="shared" si="1"/>
        <v>33016823.640000001</v>
      </c>
      <c r="G4" s="16">
        <f t="shared" si="1"/>
        <v>39543853.659999996</v>
      </c>
      <c r="H4" s="16">
        <f t="shared" si="1"/>
        <v>46107175.099999994</v>
      </c>
      <c r="I4" s="16">
        <f t="shared" si="1"/>
        <v>52705540.099999994</v>
      </c>
      <c r="J4" s="16">
        <f t="shared" si="1"/>
        <v>59688180.099999994</v>
      </c>
      <c r="K4" s="16">
        <f t="shared" si="1"/>
        <v>0</v>
      </c>
      <c r="L4" s="16">
        <f t="shared" si="1"/>
        <v>0</v>
      </c>
      <c r="M4" s="16">
        <f t="shared" si="1"/>
        <v>0</v>
      </c>
      <c r="N4" s="44"/>
      <c r="O4" s="44"/>
      <c r="P4" s="44"/>
    </row>
    <row r="5" spans="1:16">
      <c r="A5" s="13" t="s">
        <v>16</v>
      </c>
      <c r="B5" s="6">
        <v>5026009.3600000003</v>
      </c>
      <c r="C5" s="6">
        <v>9984458.3900000006</v>
      </c>
      <c r="D5" s="6">
        <v>15250750</v>
      </c>
      <c r="E5" s="6">
        <v>20133733.440000001</v>
      </c>
      <c r="F5" s="6">
        <v>25116773.620000001</v>
      </c>
      <c r="G5" s="6">
        <v>30036815.789999999</v>
      </c>
      <c r="H5" s="6">
        <v>34994392.229999997</v>
      </c>
      <c r="I5" s="6">
        <v>39987012.229999997</v>
      </c>
      <c r="J5" s="6">
        <v>45344857.229999997</v>
      </c>
      <c r="K5" s="6"/>
      <c r="L5" s="6"/>
      <c r="M5" s="6"/>
      <c r="N5" s="44"/>
      <c r="O5" s="44"/>
      <c r="P5" s="44"/>
    </row>
    <row r="6" spans="1:16" s="18" customFormat="1">
      <c r="A6" s="12" t="s">
        <v>22</v>
      </c>
      <c r="B6" s="6">
        <v>1529539.19</v>
      </c>
      <c r="C6" s="6">
        <v>3064304.19</v>
      </c>
      <c r="D6" s="6">
        <v>4774412.5199999996</v>
      </c>
      <c r="E6" s="6">
        <v>6364727.5199999996</v>
      </c>
      <c r="F6" s="6">
        <v>7900050.0199999996</v>
      </c>
      <c r="G6" s="6">
        <v>9507037.8699999992</v>
      </c>
      <c r="H6" s="6">
        <v>11112782.869999999</v>
      </c>
      <c r="I6" s="6">
        <v>12718527.869999999</v>
      </c>
      <c r="J6" s="6">
        <v>14343322.869999999</v>
      </c>
      <c r="K6" s="6"/>
      <c r="L6" s="6"/>
      <c r="M6" s="6"/>
    </row>
    <row r="7" spans="1:16">
      <c r="A7" s="15" t="s">
        <v>17</v>
      </c>
      <c r="B7" s="16">
        <f>SUM(B8:B11)</f>
        <v>183219.37</v>
      </c>
      <c r="C7" s="16">
        <f t="shared" ref="C7:M7" si="2">SUM(C8:C11)</f>
        <v>369349.74</v>
      </c>
      <c r="D7" s="16">
        <f t="shared" si="2"/>
        <v>547669.74</v>
      </c>
      <c r="E7" s="16">
        <f t="shared" si="2"/>
        <v>766783.74</v>
      </c>
      <c r="F7" s="16">
        <f t="shared" si="2"/>
        <v>930811.74</v>
      </c>
      <c r="G7" s="16">
        <f t="shared" si="2"/>
        <v>1126272.74</v>
      </c>
      <c r="H7" s="16">
        <f t="shared" si="2"/>
        <v>1299836.74</v>
      </c>
      <c r="I7" s="16">
        <f t="shared" si="2"/>
        <v>1481900.74</v>
      </c>
      <c r="J7" s="16">
        <f t="shared" si="2"/>
        <v>1701514.74</v>
      </c>
      <c r="K7" s="16">
        <f t="shared" si="2"/>
        <v>0</v>
      </c>
      <c r="L7" s="16">
        <f t="shared" si="2"/>
        <v>0</v>
      </c>
      <c r="M7" s="16">
        <f t="shared" si="2"/>
        <v>0</v>
      </c>
      <c r="N7" s="44"/>
      <c r="O7" s="44"/>
      <c r="P7" s="44"/>
    </row>
    <row r="8" spans="1:16">
      <c r="A8" s="11" t="s">
        <v>21</v>
      </c>
      <c r="B8" s="10">
        <v>126419.37</v>
      </c>
      <c r="C8" s="6">
        <v>255638.74</v>
      </c>
      <c r="D8" s="10">
        <v>377038.74</v>
      </c>
      <c r="E8" s="10">
        <v>539238.74</v>
      </c>
      <c r="F8" s="10">
        <v>648338.74</v>
      </c>
      <c r="G8" s="10">
        <v>785738.74</v>
      </c>
      <c r="H8" s="10">
        <v>901638.74</v>
      </c>
      <c r="I8" s="10">
        <v>1026038.74</v>
      </c>
      <c r="J8" s="10">
        <v>1187238.74</v>
      </c>
      <c r="K8" s="10"/>
      <c r="L8" s="10"/>
      <c r="M8" s="10"/>
      <c r="N8" s="44"/>
    </row>
    <row r="9" spans="1:16">
      <c r="A9" s="11" t="s">
        <v>18</v>
      </c>
      <c r="B9" s="10">
        <v>56800</v>
      </c>
      <c r="C9" s="6">
        <v>113711</v>
      </c>
      <c r="D9" s="10">
        <v>170631</v>
      </c>
      <c r="E9" s="10">
        <v>227545</v>
      </c>
      <c r="F9" s="10">
        <v>282473</v>
      </c>
      <c r="G9" s="10">
        <v>340534</v>
      </c>
      <c r="H9" s="10">
        <v>398198</v>
      </c>
      <c r="I9" s="10">
        <v>455862</v>
      </c>
      <c r="J9" s="10">
        <v>514276</v>
      </c>
      <c r="K9" s="10"/>
      <c r="L9" s="10"/>
      <c r="M9" s="6"/>
      <c r="N9" s="44"/>
      <c r="O9" s="44"/>
    </row>
    <row r="10" spans="1:16">
      <c r="A10" s="11" t="s">
        <v>19</v>
      </c>
      <c r="B10" s="10"/>
      <c r="C10" s="6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44"/>
      <c r="O10" s="39"/>
    </row>
    <row r="11" spans="1:16" s="18" customFormat="1">
      <c r="A11" s="11" t="s">
        <v>31</v>
      </c>
      <c r="B11" s="10"/>
      <c r="C11" s="6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53"/>
      <c r="O11" s="53"/>
    </row>
    <row r="12" spans="1:16" s="18" customFormat="1">
      <c r="A12" s="23" t="s">
        <v>30</v>
      </c>
      <c r="B12" s="19">
        <f>SUM(B13)</f>
        <v>0</v>
      </c>
      <c r="C12" s="19">
        <f t="shared" ref="C12:M12" si="3">SUM(C13)</f>
        <v>0</v>
      </c>
      <c r="D12" s="19">
        <f t="shared" si="3"/>
        <v>0</v>
      </c>
      <c r="E12" s="19">
        <f t="shared" si="3"/>
        <v>0</v>
      </c>
      <c r="F12" s="19">
        <f t="shared" si="3"/>
        <v>0</v>
      </c>
      <c r="G12" s="19">
        <f t="shared" si="3"/>
        <v>0</v>
      </c>
      <c r="H12" s="19">
        <f t="shared" si="3"/>
        <v>0</v>
      </c>
      <c r="I12" s="19">
        <f t="shared" si="3"/>
        <v>0</v>
      </c>
      <c r="J12" s="19">
        <f t="shared" si="3"/>
        <v>0</v>
      </c>
      <c r="K12" s="19">
        <f t="shared" si="3"/>
        <v>0</v>
      </c>
      <c r="L12" s="19">
        <f t="shared" si="3"/>
        <v>0</v>
      </c>
      <c r="M12" s="19">
        <f t="shared" si="3"/>
        <v>0</v>
      </c>
      <c r="N12" s="53"/>
      <c r="P12" s="53"/>
    </row>
    <row r="13" spans="1:16" s="18" customFormat="1">
      <c r="A13" s="34" t="s">
        <v>25</v>
      </c>
      <c r="B13" s="52"/>
      <c r="C13" s="52"/>
      <c r="D13" s="52"/>
      <c r="E13" s="52"/>
      <c r="F13" s="52"/>
      <c r="G13" s="52"/>
      <c r="H13" s="52"/>
      <c r="I13" s="52"/>
      <c r="J13" s="52"/>
      <c r="K13" s="52"/>
      <c r="L13" s="52"/>
      <c r="M13" s="52"/>
      <c r="N13" s="53"/>
    </row>
    <row r="14" spans="1:16">
      <c r="A14" s="23" t="s">
        <v>35</v>
      </c>
      <c r="B14" s="16">
        <f>SUM(B15)</f>
        <v>0</v>
      </c>
      <c r="C14" s="16">
        <f t="shared" ref="C14:M14" si="4">SUM(C15)</f>
        <v>0</v>
      </c>
      <c r="D14" s="16">
        <f t="shared" si="4"/>
        <v>0</v>
      </c>
      <c r="E14" s="16">
        <f t="shared" si="4"/>
        <v>0</v>
      </c>
      <c r="F14" s="16">
        <f t="shared" si="4"/>
        <v>0</v>
      </c>
      <c r="G14" s="16">
        <f t="shared" si="4"/>
        <v>0</v>
      </c>
      <c r="H14" s="16">
        <f t="shared" si="4"/>
        <v>0</v>
      </c>
      <c r="I14" s="16">
        <f t="shared" si="4"/>
        <v>0</v>
      </c>
      <c r="J14" s="16">
        <f t="shared" si="4"/>
        <v>0</v>
      </c>
      <c r="K14" s="16">
        <f t="shared" si="4"/>
        <v>0</v>
      </c>
      <c r="L14" s="16">
        <f t="shared" si="4"/>
        <v>0</v>
      </c>
      <c r="M14" s="16">
        <f t="shared" si="4"/>
        <v>0</v>
      </c>
      <c r="N14" s="44"/>
    </row>
    <row r="15" spans="1:16">
      <c r="A15" s="5" t="s">
        <v>37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</row>
    <row r="16" spans="1:16" s="18" customFormat="1">
      <c r="A16" s="23" t="s">
        <v>39</v>
      </c>
      <c r="B16" s="16">
        <f>SUM(B17:B18)</f>
        <v>0</v>
      </c>
      <c r="C16" s="16">
        <f t="shared" ref="C16:M16" si="5">SUM(C17:C18)</f>
        <v>0</v>
      </c>
      <c r="D16" s="16">
        <f t="shared" si="5"/>
        <v>0</v>
      </c>
      <c r="E16" s="16">
        <f t="shared" si="5"/>
        <v>0</v>
      </c>
      <c r="F16" s="16">
        <f t="shared" si="5"/>
        <v>0</v>
      </c>
      <c r="G16" s="16">
        <f t="shared" si="5"/>
        <v>0</v>
      </c>
      <c r="H16" s="16">
        <f t="shared" si="5"/>
        <v>0</v>
      </c>
      <c r="I16" s="16">
        <f t="shared" si="5"/>
        <v>0</v>
      </c>
      <c r="J16" s="16">
        <f t="shared" si="5"/>
        <v>0</v>
      </c>
      <c r="K16" s="16">
        <f t="shared" si="5"/>
        <v>0</v>
      </c>
      <c r="L16" s="16">
        <f t="shared" si="5"/>
        <v>0</v>
      </c>
      <c r="M16" s="16">
        <f t="shared" si="5"/>
        <v>0</v>
      </c>
      <c r="N16" s="53"/>
    </row>
    <row r="17" spans="1:13">
      <c r="A17" s="5" t="s">
        <v>40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</row>
    <row r="18" spans="1:13">
      <c r="A18" s="5" t="s">
        <v>38</v>
      </c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</row>
  </sheetData>
  <pageMargins left="0.7" right="0.7" top="0.75" bottom="0.75" header="0.3" footer="0.3"/>
  <pageSetup paperSize="9"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P18"/>
  <sheetViews>
    <sheetView zoomScaleNormal="100" zoomScaleSheetLayoutView="85" workbookViewId="0">
      <selection activeCell="J14" sqref="J14"/>
    </sheetView>
  </sheetViews>
  <sheetFormatPr defaultRowHeight="23.25"/>
  <cols>
    <col min="1" max="1" width="23.75" style="1" bestFit="1" customWidth="1"/>
    <col min="2" max="2" width="14.375" style="39" hidden="1" customWidth="1"/>
    <col min="3" max="3" width="11.75" style="39" hidden="1" customWidth="1"/>
    <col min="4" max="4" width="12.625" style="39" hidden="1" customWidth="1"/>
    <col min="5" max="5" width="12.625" style="39" customWidth="1"/>
    <col min="6" max="6" width="12.25" style="39" customWidth="1"/>
    <col min="7" max="9" width="12.5" style="39" customWidth="1"/>
    <col min="10" max="10" width="12.375" style="39" bestFit="1" customWidth="1"/>
    <col min="11" max="11" width="13.125" style="39" customWidth="1"/>
    <col min="12" max="13" width="12.375" style="39" bestFit="1" customWidth="1"/>
    <col min="14" max="15" width="13.25" style="1" bestFit="1" customWidth="1"/>
    <col min="16" max="16" width="12.375" style="1" bestFit="1" customWidth="1"/>
    <col min="17" max="16384" width="9" style="1"/>
  </cols>
  <sheetData>
    <row r="1" spans="1:16" ht="25.5" customHeight="1">
      <c r="A1" s="99" t="s">
        <v>13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</row>
    <row r="2" spans="1:16" s="43" customFormat="1" ht="17.25" customHeight="1">
      <c r="A2" s="40" t="s">
        <v>12</v>
      </c>
      <c r="B2" s="41" t="s">
        <v>57</v>
      </c>
      <c r="C2" s="40" t="s">
        <v>58</v>
      </c>
      <c r="D2" s="42" t="s">
        <v>59</v>
      </c>
      <c r="E2" s="40" t="s">
        <v>60</v>
      </c>
      <c r="F2" s="40" t="s">
        <v>61</v>
      </c>
      <c r="G2" s="40" t="s">
        <v>62</v>
      </c>
      <c r="H2" s="40" t="s">
        <v>63</v>
      </c>
      <c r="I2" s="40" t="s">
        <v>64</v>
      </c>
      <c r="J2" s="40" t="s">
        <v>65</v>
      </c>
      <c r="K2" s="40" t="s">
        <v>66</v>
      </c>
      <c r="L2" s="40" t="s">
        <v>67</v>
      </c>
      <c r="M2" s="40" t="s">
        <v>68</v>
      </c>
    </row>
    <row r="3" spans="1:16" s="18" customFormat="1">
      <c r="A3" s="8" t="s">
        <v>27</v>
      </c>
      <c r="B3" s="3">
        <f>SUM(B4,B7,B12,B14,B16)</f>
        <v>850930.86</v>
      </c>
      <c r="C3" s="3">
        <f t="shared" ref="C3:M3" si="0">SUM(C4,C7,C12,C14,C16)</f>
        <v>3115007.2199999997</v>
      </c>
      <c r="D3" s="3">
        <f t="shared" si="0"/>
        <v>4797754.8499999996</v>
      </c>
      <c r="E3" s="3">
        <f t="shared" si="0"/>
        <v>6009057.4899999993</v>
      </c>
      <c r="F3" s="3">
        <f t="shared" si="0"/>
        <v>7419847.5100000007</v>
      </c>
      <c r="G3" s="3">
        <f t="shared" si="0"/>
        <v>11587844.060000001</v>
      </c>
      <c r="H3" s="3">
        <f t="shared" si="0"/>
        <v>13678908.370000001</v>
      </c>
      <c r="I3" s="3">
        <f t="shared" si="0"/>
        <v>17219393.66</v>
      </c>
      <c r="J3" s="3">
        <f t="shared" si="0"/>
        <v>21921010.369999997</v>
      </c>
      <c r="K3" s="3">
        <f t="shared" si="0"/>
        <v>0</v>
      </c>
      <c r="L3" s="3">
        <f t="shared" si="0"/>
        <v>0</v>
      </c>
      <c r="M3" s="3">
        <f t="shared" si="0"/>
        <v>0</v>
      </c>
      <c r="N3" s="53"/>
      <c r="O3" s="53"/>
    </row>
    <row r="4" spans="1:16">
      <c r="A4" s="15" t="s">
        <v>15</v>
      </c>
      <c r="B4" s="16">
        <f>SUM(B5:B6)</f>
        <v>0</v>
      </c>
      <c r="C4" s="16">
        <f t="shared" ref="C4:M4" si="1">SUM(C5:C6)</f>
        <v>0</v>
      </c>
      <c r="D4" s="16">
        <f t="shared" si="1"/>
        <v>0</v>
      </c>
      <c r="E4" s="16">
        <f t="shared" si="1"/>
        <v>0</v>
      </c>
      <c r="F4" s="16">
        <f t="shared" si="1"/>
        <v>0</v>
      </c>
      <c r="G4" s="16">
        <f t="shared" si="1"/>
        <v>0</v>
      </c>
      <c r="H4" s="16">
        <f t="shared" si="1"/>
        <v>0</v>
      </c>
      <c r="I4" s="16">
        <f t="shared" si="1"/>
        <v>0</v>
      </c>
      <c r="J4" s="16">
        <f t="shared" si="1"/>
        <v>0</v>
      </c>
      <c r="K4" s="16">
        <f t="shared" si="1"/>
        <v>0</v>
      </c>
      <c r="L4" s="16">
        <f t="shared" si="1"/>
        <v>0</v>
      </c>
      <c r="M4" s="16">
        <f t="shared" si="1"/>
        <v>0</v>
      </c>
      <c r="N4" s="44"/>
      <c r="O4" s="44"/>
      <c r="P4" s="44"/>
    </row>
    <row r="5" spans="1:16">
      <c r="A5" s="13" t="s">
        <v>16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44"/>
      <c r="O5" s="44"/>
      <c r="P5" s="44"/>
    </row>
    <row r="6" spans="1:16" s="18" customFormat="1">
      <c r="A6" s="12" t="s">
        <v>22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</row>
    <row r="7" spans="1:16">
      <c r="A7" s="15" t="s">
        <v>17</v>
      </c>
      <c r="B7" s="16">
        <f>SUM(B8:B11)</f>
        <v>539530.86</v>
      </c>
      <c r="C7" s="16">
        <f>SUM(C8:C11)</f>
        <v>1965837.76</v>
      </c>
      <c r="D7" s="16">
        <f t="shared" ref="D7:E7" si="2">SUM(D8:D11)</f>
        <v>3152461.26</v>
      </c>
      <c r="E7" s="16">
        <f t="shared" si="2"/>
        <v>4281989.5199999996</v>
      </c>
      <c r="F7" s="16">
        <f t="shared" ref="F7:M7" si="3">SUM(F8:F11)</f>
        <v>5507926.8100000005</v>
      </c>
      <c r="G7" s="16">
        <f>SUM(G8:G11)</f>
        <v>7170076.79</v>
      </c>
      <c r="H7" s="16">
        <f t="shared" si="3"/>
        <v>8158407.3399999999</v>
      </c>
      <c r="I7" s="16">
        <f t="shared" si="3"/>
        <v>10157451.15</v>
      </c>
      <c r="J7" s="16">
        <f t="shared" si="3"/>
        <v>13751003.559999999</v>
      </c>
      <c r="K7" s="16">
        <f t="shared" si="3"/>
        <v>0</v>
      </c>
      <c r="L7" s="16">
        <f t="shared" si="3"/>
        <v>0</v>
      </c>
      <c r="M7" s="16">
        <f t="shared" si="3"/>
        <v>0</v>
      </c>
      <c r="N7" s="44"/>
      <c r="O7" s="44"/>
      <c r="P7" s="44"/>
    </row>
    <row r="8" spans="1:16">
      <c r="A8" s="11" t="s">
        <v>21</v>
      </c>
      <c r="B8" s="10"/>
      <c r="C8" s="6">
        <v>15260</v>
      </c>
      <c r="D8" s="10">
        <v>49060</v>
      </c>
      <c r="E8" s="10">
        <v>174400</v>
      </c>
      <c r="F8" s="10">
        <v>202050</v>
      </c>
      <c r="G8" s="10">
        <v>262140</v>
      </c>
      <c r="H8" s="10">
        <v>313080</v>
      </c>
      <c r="I8" s="10">
        <v>329390</v>
      </c>
      <c r="J8" s="10">
        <v>374030</v>
      </c>
      <c r="K8" s="10"/>
      <c r="L8" s="10"/>
      <c r="M8" s="10"/>
      <c r="N8" s="44"/>
    </row>
    <row r="9" spans="1:16">
      <c r="A9" s="11" t="s">
        <v>18</v>
      </c>
      <c r="B9" s="10">
        <v>173308.13</v>
      </c>
      <c r="C9" s="6">
        <f>1440093.66+13500</f>
        <v>1453593.66</v>
      </c>
      <c r="D9" s="10">
        <f>2138476.92+40500</f>
        <v>2178976.92</v>
      </c>
      <c r="E9" s="10">
        <f>2826428.3+40500</f>
        <v>2866928.3</v>
      </c>
      <c r="F9" s="10">
        <f>3861287.05+40500</f>
        <v>3901787.05</v>
      </c>
      <c r="G9" s="10">
        <f>4737514.38+240500</f>
        <v>4978014.38</v>
      </c>
      <c r="H9" s="10">
        <f>5318373.68+240500</f>
        <v>5558873.6799999997</v>
      </c>
      <c r="I9" s="10">
        <f>6362585.97+254300</f>
        <v>6616885.9699999997</v>
      </c>
      <c r="J9" s="10">
        <f>9170179.19+254300</f>
        <v>9424479.1899999995</v>
      </c>
      <c r="K9" s="10"/>
      <c r="L9" s="10"/>
      <c r="M9" s="6"/>
      <c r="N9" s="44"/>
      <c r="O9" s="44"/>
    </row>
    <row r="10" spans="1:16">
      <c r="A10" s="11" t="s">
        <v>19</v>
      </c>
      <c r="B10" s="10">
        <v>20009</v>
      </c>
      <c r="C10" s="6">
        <v>116677.33</v>
      </c>
      <c r="D10" s="10">
        <v>330117.57</v>
      </c>
      <c r="E10" s="10">
        <v>539354.44999999995</v>
      </c>
      <c r="F10" s="10">
        <v>595782.99</v>
      </c>
      <c r="G10" s="10">
        <v>736881.79</v>
      </c>
      <c r="H10" s="10">
        <v>962777.45</v>
      </c>
      <c r="I10" s="10">
        <v>1100820.6000000001</v>
      </c>
      <c r="J10" s="10">
        <v>1316417.93</v>
      </c>
      <c r="K10" s="10"/>
      <c r="L10" s="10"/>
      <c r="M10" s="10"/>
      <c r="N10" s="44"/>
      <c r="O10" s="39"/>
    </row>
    <row r="11" spans="1:16" s="18" customFormat="1">
      <c r="A11" s="11" t="s">
        <v>31</v>
      </c>
      <c r="B11" s="10">
        <v>346213.73</v>
      </c>
      <c r="C11" s="6">
        <v>380306.77</v>
      </c>
      <c r="D11" s="10">
        <v>594306.77</v>
      </c>
      <c r="E11" s="10">
        <v>701306.77</v>
      </c>
      <c r="F11" s="10">
        <v>808306.77</v>
      </c>
      <c r="G11" s="10">
        <v>1193040.6200000001</v>
      </c>
      <c r="H11" s="10">
        <v>1323676.21</v>
      </c>
      <c r="I11" s="10">
        <v>2110354.58</v>
      </c>
      <c r="J11" s="10">
        <v>2636076.44</v>
      </c>
      <c r="K11" s="10"/>
      <c r="L11" s="10"/>
      <c r="M11" s="10"/>
      <c r="N11" s="53"/>
      <c r="O11" s="53"/>
    </row>
    <row r="12" spans="1:16" s="18" customFormat="1">
      <c r="A12" s="23" t="s">
        <v>30</v>
      </c>
      <c r="B12" s="19">
        <f>SUM(B13)</f>
        <v>311400</v>
      </c>
      <c r="C12" s="19">
        <f t="shared" ref="C12:M12" si="4">SUM(C13)</f>
        <v>1149169.46</v>
      </c>
      <c r="D12" s="19">
        <f t="shared" si="4"/>
        <v>1282143.5900000001</v>
      </c>
      <c r="E12" s="19">
        <f t="shared" si="4"/>
        <v>1366013.59</v>
      </c>
      <c r="F12" s="19">
        <f t="shared" si="4"/>
        <v>1550866.32</v>
      </c>
      <c r="G12" s="19">
        <f t="shared" si="4"/>
        <v>4056712.8899999997</v>
      </c>
      <c r="H12" s="19">
        <f t="shared" si="4"/>
        <v>5159446.6500000004</v>
      </c>
      <c r="I12" s="19">
        <f t="shared" si="4"/>
        <v>6700888.1299999999</v>
      </c>
      <c r="J12" s="19">
        <f t="shared" si="4"/>
        <v>7808952.4299999997</v>
      </c>
      <c r="K12" s="19">
        <f t="shared" si="4"/>
        <v>0</v>
      </c>
      <c r="L12" s="19">
        <f t="shared" si="4"/>
        <v>0</v>
      </c>
      <c r="M12" s="19">
        <f t="shared" si="4"/>
        <v>0</v>
      </c>
      <c r="N12" s="53"/>
      <c r="P12" s="53"/>
    </row>
    <row r="13" spans="1:16" s="18" customFormat="1">
      <c r="A13" s="34" t="s">
        <v>25</v>
      </c>
      <c r="B13" s="52">
        <v>311400</v>
      </c>
      <c r="C13" s="52">
        <f>1119813.45+29356.01</f>
        <v>1149169.46</v>
      </c>
      <c r="D13" s="52">
        <f>1252787.58+29356.01</f>
        <v>1282143.5900000001</v>
      </c>
      <c r="E13" s="52">
        <f>1336657.58+29356.01</f>
        <v>1366013.59</v>
      </c>
      <c r="F13" s="52">
        <f>1485517.31+19193+46156.01</f>
        <v>1550866.32</v>
      </c>
      <c r="G13" s="52">
        <f>2256875.53+1677538+122299.36</f>
        <v>4056712.8899999997</v>
      </c>
      <c r="H13" s="52">
        <f>3294755.5+1680038+42470+142183.15</f>
        <v>5159446.6500000004</v>
      </c>
      <c r="I13" s="52">
        <v>6700888.1299999999</v>
      </c>
      <c r="J13" s="52">
        <v>7808952.4299999997</v>
      </c>
      <c r="K13" s="52"/>
      <c r="L13" s="52"/>
      <c r="M13" s="52"/>
      <c r="N13" s="53"/>
    </row>
    <row r="14" spans="1:16">
      <c r="A14" s="23" t="s">
        <v>35</v>
      </c>
      <c r="B14" s="16">
        <f>SUM(B15)</f>
        <v>0</v>
      </c>
      <c r="C14" s="16">
        <f t="shared" ref="C14:M14" si="5">SUM(C15)</f>
        <v>0</v>
      </c>
      <c r="D14" s="16">
        <f t="shared" ref="D14:E14" si="6">SUM(D15)</f>
        <v>261500</v>
      </c>
      <c r="E14" s="16">
        <f t="shared" si="6"/>
        <v>259404.38</v>
      </c>
      <c r="F14" s="16">
        <f t="shared" si="5"/>
        <v>259404.38</v>
      </c>
      <c r="G14" s="16">
        <f t="shared" si="5"/>
        <v>259404.38</v>
      </c>
      <c r="H14" s="16">
        <f t="shared" si="5"/>
        <v>259404.38</v>
      </c>
      <c r="I14" s="16">
        <f t="shared" si="5"/>
        <v>259404.38</v>
      </c>
      <c r="J14" s="16">
        <f t="shared" si="5"/>
        <v>259404.38</v>
      </c>
      <c r="K14" s="16">
        <f t="shared" si="5"/>
        <v>0</v>
      </c>
      <c r="L14" s="16">
        <f t="shared" si="5"/>
        <v>0</v>
      </c>
      <c r="M14" s="16">
        <f t="shared" si="5"/>
        <v>0</v>
      </c>
      <c r="N14" s="44"/>
    </row>
    <row r="15" spans="1:16">
      <c r="A15" s="5" t="s">
        <v>37</v>
      </c>
      <c r="B15" s="6"/>
      <c r="C15" s="6"/>
      <c r="D15" s="6">
        <v>261500</v>
      </c>
      <c r="E15" s="6">
        <v>259404.38</v>
      </c>
      <c r="F15" s="6">
        <v>259404.38</v>
      </c>
      <c r="G15" s="6">
        <v>259404.38</v>
      </c>
      <c r="H15" s="6">
        <v>259404.38</v>
      </c>
      <c r="I15" s="6">
        <v>259404.38</v>
      </c>
      <c r="J15" s="6">
        <v>259404.38</v>
      </c>
      <c r="K15" s="6"/>
      <c r="L15" s="6"/>
      <c r="M15" s="6"/>
    </row>
    <row r="16" spans="1:16" s="18" customFormat="1">
      <c r="A16" s="23" t="s">
        <v>39</v>
      </c>
      <c r="B16" s="16">
        <f>SUM(B17:B18)</f>
        <v>0</v>
      </c>
      <c r="C16" s="16">
        <f t="shared" ref="C16:M16" si="7">SUM(C17:C18)</f>
        <v>0</v>
      </c>
      <c r="D16" s="16">
        <f t="shared" ref="D16:E16" si="8">SUM(D17:D18)</f>
        <v>101650</v>
      </c>
      <c r="E16" s="16">
        <f t="shared" si="8"/>
        <v>101650</v>
      </c>
      <c r="F16" s="16">
        <f t="shared" si="7"/>
        <v>101650</v>
      </c>
      <c r="G16" s="16">
        <f t="shared" si="7"/>
        <v>101650</v>
      </c>
      <c r="H16" s="16">
        <f t="shared" si="7"/>
        <v>101650</v>
      </c>
      <c r="I16" s="16">
        <f t="shared" si="7"/>
        <v>101650</v>
      </c>
      <c r="J16" s="16">
        <f t="shared" si="7"/>
        <v>101650</v>
      </c>
      <c r="K16" s="16">
        <f t="shared" si="7"/>
        <v>0</v>
      </c>
      <c r="L16" s="16">
        <f t="shared" si="7"/>
        <v>0</v>
      </c>
      <c r="M16" s="16">
        <f t="shared" si="7"/>
        <v>0</v>
      </c>
      <c r="N16" s="53"/>
    </row>
    <row r="17" spans="1:13">
      <c r="A17" s="5" t="s">
        <v>40</v>
      </c>
      <c r="B17" s="6"/>
      <c r="C17" s="6"/>
      <c r="D17" s="6">
        <v>101650</v>
      </c>
      <c r="E17" s="6">
        <v>101650</v>
      </c>
      <c r="F17" s="6">
        <v>101650</v>
      </c>
      <c r="G17" s="6">
        <v>101650</v>
      </c>
      <c r="H17" s="6">
        <v>101650</v>
      </c>
      <c r="I17" s="6">
        <v>101650</v>
      </c>
      <c r="J17" s="6">
        <v>101650</v>
      </c>
      <c r="K17" s="6"/>
      <c r="L17" s="6"/>
      <c r="M17" s="6"/>
    </row>
    <row r="18" spans="1:13">
      <c r="A18" s="5" t="s">
        <v>38</v>
      </c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</row>
  </sheetData>
  <pageMargins left="0.7" right="0.7" top="0.75" bottom="0.75" header="0.3" footer="0.3"/>
  <pageSetup paperSize="9"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N59"/>
  <sheetViews>
    <sheetView zoomScaleNormal="100" zoomScaleSheetLayoutView="89" workbookViewId="0">
      <selection activeCell="J14" sqref="J14"/>
    </sheetView>
  </sheetViews>
  <sheetFormatPr defaultRowHeight="23.25"/>
  <cols>
    <col min="1" max="1" width="23.75" style="1" bestFit="1" customWidth="1"/>
    <col min="2" max="2" width="14.125" style="1" hidden="1" customWidth="1"/>
    <col min="3" max="3" width="11.5" style="39" hidden="1" customWidth="1"/>
    <col min="4" max="5" width="11.5" style="1" hidden="1" customWidth="1"/>
    <col min="6" max="7" width="12.375" style="1" customWidth="1"/>
    <col min="8" max="8" width="13" style="1" customWidth="1"/>
    <col min="9" max="9" width="12.125" style="1" customWidth="1"/>
    <col min="10" max="12" width="12" style="1" bestFit="1" customWidth="1"/>
    <col min="13" max="13" width="12.375" style="1" bestFit="1" customWidth="1"/>
    <col min="14" max="14" width="12" style="1" bestFit="1" customWidth="1"/>
    <col min="15" max="16384" width="9" style="1"/>
  </cols>
  <sheetData>
    <row r="1" spans="1:14" ht="25.5" customHeight="1">
      <c r="A1" s="99" t="s">
        <v>26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</row>
    <row r="2" spans="1:14" s="43" customFormat="1" ht="17.25" customHeight="1">
      <c r="A2" s="40" t="s">
        <v>12</v>
      </c>
      <c r="B2" s="41" t="s">
        <v>57</v>
      </c>
      <c r="C2" s="40" t="s">
        <v>58</v>
      </c>
      <c r="D2" s="42" t="s">
        <v>59</v>
      </c>
      <c r="E2" s="40" t="s">
        <v>60</v>
      </c>
      <c r="F2" s="40" t="s">
        <v>61</v>
      </c>
      <c r="G2" s="40" t="s">
        <v>62</v>
      </c>
      <c r="H2" s="40" t="s">
        <v>63</v>
      </c>
      <c r="I2" s="40" t="s">
        <v>64</v>
      </c>
      <c r="J2" s="40" t="s">
        <v>65</v>
      </c>
      <c r="K2" s="40" t="s">
        <v>66</v>
      </c>
      <c r="L2" s="40" t="s">
        <v>67</v>
      </c>
      <c r="M2" s="40" t="s">
        <v>68</v>
      </c>
    </row>
    <row r="3" spans="1:14" s="4" customFormat="1">
      <c r="A3" s="8" t="s">
        <v>27</v>
      </c>
      <c r="B3" s="3">
        <f>+B4+B7+B12+B14+B16</f>
        <v>453051.88</v>
      </c>
      <c r="C3" s="3">
        <f t="shared" ref="C3:E3" si="0">+C4+C7+C12+C14+C16</f>
        <v>2549094.3499999996</v>
      </c>
      <c r="D3" s="3">
        <f t="shared" si="0"/>
        <v>3977019.03</v>
      </c>
      <c r="E3" s="3">
        <f t="shared" si="0"/>
        <v>5195859.16</v>
      </c>
      <c r="F3" s="3">
        <f>+F4+F7+F12+F14+F16</f>
        <v>6695083.0899999999</v>
      </c>
      <c r="G3" s="3">
        <f>+G4+G7+G12+G14+G16</f>
        <v>7988023.8300000001</v>
      </c>
      <c r="H3" s="3">
        <f t="shared" ref="H3" si="1">+H4+H7+H12+H14+H16</f>
        <v>9635350.6100000013</v>
      </c>
      <c r="I3" s="3">
        <f>+I4+I7+I12+I14+I16</f>
        <v>11722994.279999999</v>
      </c>
      <c r="J3" s="3">
        <f>+J4+J7+J12+J14+J16</f>
        <v>13481341.09</v>
      </c>
      <c r="K3" s="3">
        <f t="shared" ref="K3:M3" si="2">+K4+K7+K12+K14+K16</f>
        <v>0</v>
      </c>
      <c r="L3" s="3">
        <f t="shared" si="2"/>
        <v>0</v>
      </c>
      <c r="M3" s="3">
        <f t="shared" si="2"/>
        <v>0</v>
      </c>
    </row>
    <row r="4" spans="1:14" s="18" customFormat="1">
      <c r="A4" s="15" t="s">
        <v>15</v>
      </c>
      <c r="B4" s="16">
        <f>SUM(B5:B6)</f>
        <v>0</v>
      </c>
      <c r="C4" s="16">
        <f t="shared" ref="C4:E4" si="3">SUM(C5:C6)</f>
        <v>0</v>
      </c>
      <c r="D4" s="16">
        <f t="shared" si="3"/>
        <v>0</v>
      </c>
      <c r="E4" s="16">
        <f t="shared" si="3"/>
        <v>0</v>
      </c>
      <c r="F4" s="16">
        <f>SUM(F5:F6)</f>
        <v>0</v>
      </c>
      <c r="G4" s="16">
        <f>SUM(G5:G6)</f>
        <v>0</v>
      </c>
      <c r="H4" s="16">
        <f t="shared" ref="H4:M4" si="4">SUM(H5:H6)</f>
        <v>0</v>
      </c>
      <c r="I4" s="16">
        <f>SUM(I5:I6)</f>
        <v>0</v>
      </c>
      <c r="J4" s="16">
        <f>SUM(J5:J6)</f>
        <v>0</v>
      </c>
      <c r="K4" s="16">
        <f t="shared" si="4"/>
        <v>0</v>
      </c>
      <c r="L4" s="16">
        <f t="shared" si="4"/>
        <v>0</v>
      </c>
      <c r="M4" s="16">
        <f t="shared" si="4"/>
        <v>0</v>
      </c>
    </row>
    <row r="5" spans="1:14">
      <c r="A5" s="13" t="s">
        <v>16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44"/>
    </row>
    <row r="6" spans="1:14">
      <c r="A6" s="12" t="s">
        <v>22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</row>
    <row r="7" spans="1:14" s="18" customFormat="1">
      <c r="A7" s="15" t="s">
        <v>17</v>
      </c>
      <c r="B7" s="16">
        <f t="shared" ref="B7:E7" si="5">SUM(B8:B11)</f>
        <v>34870</v>
      </c>
      <c r="C7" s="16">
        <f t="shared" si="5"/>
        <v>1229411.48</v>
      </c>
      <c r="D7" s="16">
        <f t="shared" si="5"/>
        <v>2543268.7999999998</v>
      </c>
      <c r="E7" s="16">
        <f t="shared" si="5"/>
        <v>3282818.31</v>
      </c>
      <c r="F7" s="16">
        <f>SUM(F8:F11)</f>
        <v>4500692.7300000004</v>
      </c>
      <c r="G7" s="16">
        <f t="shared" ref="G7:L7" si="6">SUM(G8:G11)</f>
        <v>5528063.3499999996</v>
      </c>
      <c r="H7" s="16">
        <f t="shared" si="6"/>
        <v>5937091.9700000007</v>
      </c>
      <c r="I7" s="16">
        <f>SUM(I8:I11)</f>
        <v>7020003.0199999996</v>
      </c>
      <c r="J7" s="16">
        <f>SUM(J8:J11)</f>
        <v>7868573.959999999</v>
      </c>
      <c r="K7" s="16">
        <f>SUM(K8:K11)</f>
        <v>0</v>
      </c>
      <c r="L7" s="16">
        <f t="shared" si="6"/>
        <v>0</v>
      </c>
      <c r="M7" s="16">
        <f>SUM(M8:M11)</f>
        <v>0</v>
      </c>
    </row>
    <row r="8" spans="1:14">
      <c r="A8" s="11" t="s">
        <v>21</v>
      </c>
      <c r="B8" s="10">
        <v>10850</v>
      </c>
      <c r="C8" s="10">
        <v>74870</v>
      </c>
      <c r="D8" s="10">
        <v>130880</v>
      </c>
      <c r="E8" s="10">
        <v>238120</v>
      </c>
      <c r="F8" s="10">
        <v>317200</v>
      </c>
      <c r="G8" s="10">
        <v>369140</v>
      </c>
      <c r="H8" s="10">
        <v>422760</v>
      </c>
      <c r="I8" s="10">
        <v>503850</v>
      </c>
      <c r="J8" s="10">
        <v>575808.6</v>
      </c>
      <c r="K8" s="10"/>
      <c r="L8" s="10"/>
      <c r="M8" s="10"/>
    </row>
    <row r="9" spans="1:14">
      <c r="A9" s="11" t="s">
        <v>18</v>
      </c>
      <c r="B9" s="10">
        <v>24020</v>
      </c>
      <c r="C9" s="10">
        <v>782785.88</v>
      </c>
      <c r="D9" s="10">
        <f>1878637.02</f>
        <v>1878637.02</v>
      </c>
      <c r="E9" s="10">
        <f>2407753.68</f>
        <v>2407753.6800000002</v>
      </c>
      <c r="F9" s="10">
        <v>3088598.93</v>
      </c>
      <c r="G9" s="10">
        <v>3906063.84</v>
      </c>
      <c r="H9" s="10">
        <v>4240852.9400000004</v>
      </c>
      <c r="I9" s="10">
        <f>5058655.37+13800</f>
        <v>5072455.37</v>
      </c>
      <c r="J9" s="10">
        <f>5825274.69+13800</f>
        <v>5839074.6900000004</v>
      </c>
      <c r="K9" s="10"/>
      <c r="L9" s="10"/>
      <c r="M9" s="10"/>
      <c r="N9" s="10"/>
    </row>
    <row r="10" spans="1:14">
      <c r="A10" s="11" t="s">
        <v>19</v>
      </c>
      <c r="B10" s="10"/>
      <c r="C10" s="10">
        <v>36530</v>
      </c>
      <c r="D10" s="10">
        <v>177078.23</v>
      </c>
      <c r="E10" s="10">
        <v>280271.28000000003</v>
      </c>
      <c r="F10" s="10">
        <v>490916.86</v>
      </c>
      <c r="G10" s="10">
        <v>648882.56999999995</v>
      </c>
      <c r="H10" s="10">
        <v>669502.09</v>
      </c>
      <c r="I10" s="10">
        <v>839720.71</v>
      </c>
      <c r="J10" s="10">
        <v>849713.73</v>
      </c>
      <c r="K10" s="10"/>
      <c r="L10" s="10"/>
      <c r="M10" s="10"/>
    </row>
    <row r="11" spans="1:14">
      <c r="A11" s="11" t="s">
        <v>31</v>
      </c>
      <c r="B11" s="10"/>
      <c r="C11" s="10">
        <v>335225.59999999998</v>
      </c>
      <c r="D11" s="10">
        <v>356673.55</v>
      </c>
      <c r="E11" s="10">
        <v>356673.35</v>
      </c>
      <c r="F11" s="10">
        <v>603976.93999999994</v>
      </c>
      <c r="G11" s="10">
        <v>603976.93999999994</v>
      </c>
      <c r="H11" s="10">
        <v>603976.93999999994</v>
      </c>
      <c r="I11" s="52">
        <v>603976.93999999994</v>
      </c>
      <c r="J11" s="52">
        <v>603976.93999999994</v>
      </c>
      <c r="K11" s="52"/>
      <c r="L11" s="10"/>
      <c r="M11" s="52"/>
      <c r="N11" s="44"/>
    </row>
    <row r="12" spans="1:14" s="18" customFormat="1">
      <c r="A12" s="23" t="s">
        <v>30</v>
      </c>
      <c r="B12" s="19">
        <f t="shared" ref="B12:E12" si="7">SUM(B13)</f>
        <v>418181.88</v>
      </c>
      <c r="C12" s="19">
        <f t="shared" si="7"/>
        <v>1319682.8699999999</v>
      </c>
      <c r="D12" s="19">
        <f t="shared" si="7"/>
        <v>1433750.23</v>
      </c>
      <c r="E12" s="19">
        <f t="shared" si="7"/>
        <v>1913040.85</v>
      </c>
      <c r="F12" s="19">
        <f>SUM(F13)</f>
        <v>2194390.36</v>
      </c>
      <c r="G12" s="19">
        <f t="shared" ref="G12:M12" si="8">SUM(G13)</f>
        <v>2459960.48</v>
      </c>
      <c r="H12" s="19">
        <f t="shared" si="8"/>
        <v>3698258.64</v>
      </c>
      <c r="I12" s="19">
        <f t="shared" si="8"/>
        <v>4702991.26</v>
      </c>
      <c r="J12" s="19">
        <f>SUM(J13)</f>
        <v>5612767.1299999999</v>
      </c>
      <c r="K12" s="19">
        <f t="shared" si="8"/>
        <v>0</v>
      </c>
      <c r="L12" s="19">
        <f t="shared" si="8"/>
        <v>0</v>
      </c>
      <c r="M12" s="19">
        <f t="shared" si="8"/>
        <v>0</v>
      </c>
    </row>
    <row r="13" spans="1:14" s="18" customFormat="1">
      <c r="A13" s="34" t="s">
        <v>25</v>
      </c>
      <c r="B13" s="10">
        <v>418181.88</v>
      </c>
      <c r="C13" s="10">
        <f>401050.63+785992.54+132639.7</f>
        <v>1319682.8699999999</v>
      </c>
      <c r="D13" s="10">
        <f>492050.63+785270.11+156429.49</f>
        <v>1433750.23</v>
      </c>
      <c r="E13" s="10">
        <f>893772.63+799274.83+219993.39</f>
        <v>1913040.85</v>
      </c>
      <c r="F13" s="10">
        <f>1060334.13+835374.83+298681.4</f>
        <v>2194390.36</v>
      </c>
      <c r="G13" s="10">
        <f>1134846.33+904324.83+410289.32+10500</f>
        <v>2459960.48</v>
      </c>
      <c r="H13" s="10">
        <f>1275886.83+1461401.19+865277.52+95693.1</f>
        <v>3698258.64</v>
      </c>
      <c r="I13" s="10">
        <v>4702991.26</v>
      </c>
      <c r="J13" s="10">
        <v>5612767.1299999999</v>
      </c>
      <c r="K13" s="10"/>
      <c r="L13" s="10"/>
      <c r="M13" s="10"/>
    </row>
    <row r="14" spans="1:14" s="18" customFormat="1">
      <c r="A14" s="23" t="s">
        <v>35</v>
      </c>
      <c r="B14" s="16">
        <f t="shared" ref="B14:E14" si="9">SUM(B15)</f>
        <v>0</v>
      </c>
      <c r="C14" s="16">
        <f t="shared" si="9"/>
        <v>0</v>
      </c>
      <c r="D14" s="16">
        <f t="shared" si="9"/>
        <v>0</v>
      </c>
      <c r="E14" s="16">
        <f t="shared" si="9"/>
        <v>0</v>
      </c>
      <c r="F14" s="16">
        <f>SUM(F15)</f>
        <v>0</v>
      </c>
      <c r="G14" s="16">
        <f t="shared" ref="G14:M14" si="10">SUM(G15)</f>
        <v>0</v>
      </c>
      <c r="H14" s="16">
        <f t="shared" si="10"/>
        <v>0</v>
      </c>
      <c r="I14" s="16">
        <f t="shared" si="10"/>
        <v>0</v>
      </c>
      <c r="J14" s="16">
        <f t="shared" si="10"/>
        <v>0</v>
      </c>
      <c r="K14" s="16">
        <f t="shared" si="10"/>
        <v>0</v>
      </c>
      <c r="L14" s="16">
        <f t="shared" si="10"/>
        <v>0</v>
      </c>
      <c r="M14" s="16">
        <f t="shared" si="10"/>
        <v>0</v>
      </c>
    </row>
    <row r="15" spans="1:14">
      <c r="A15" s="5" t="s">
        <v>36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</row>
    <row r="16" spans="1:14" s="18" customFormat="1">
      <c r="A16" s="23" t="s">
        <v>39</v>
      </c>
      <c r="B16" s="16">
        <f t="shared" ref="B16:E16" si="11">SUM(B17:B18)</f>
        <v>0</v>
      </c>
      <c r="C16" s="16">
        <f t="shared" si="11"/>
        <v>0</v>
      </c>
      <c r="D16" s="16">
        <f t="shared" si="11"/>
        <v>0</v>
      </c>
      <c r="E16" s="16">
        <f t="shared" si="11"/>
        <v>0</v>
      </c>
      <c r="F16" s="16">
        <f>SUM(F17:F18)</f>
        <v>0</v>
      </c>
      <c r="G16" s="16">
        <f t="shared" ref="G16:M16" si="12">SUM(G17:G18)</f>
        <v>0</v>
      </c>
      <c r="H16" s="16">
        <f t="shared" si="12"/>
        <v>0</v>
      </c>
      <c r="I16" s="16">
        <f t="shared" si="12"/>
        <v>0</v>
      </c>
      <c r="J16" s="16">
        <f t="shared" si="12"/>
        <v>0</v>
      </c>
      <c r="K16" s="16">
        <f t="shared" si="12"/>
        <v>0</v>
      </c>
      <c r="L16" s="16">
        <f t="shared" si="12"/>
        <v>0</v>
      </c>
      <c r="M16" s="16">
        <f t="shared" si="12"/>
        <v>0</v>
      </c>
    </row>
    <row r="17" spans="1:14">
      <c r="A17" s="5" t="s">
        <v>40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</row>
    <row r="18" spans="1:14">
      <c r="A18" s="5" t="s">
        <v>38</v>
      </c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</row>
    <row r="20" spans="1:14">
      <c r="G20" s="39"/>
    </row>
    <row r="21" spans="1:14" s="4" customFormat="1">
      <c r="A21" s="1"/>
      <c r="B21" s="1"/>
      <c r="C21" s="39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4">
      <c r="B22" s="44"/>
      <c r="E22" s="44"/>
    </row>
    <row r="25" spans="1:14" s="18" customFormat="1">
      <c r="A25" s="1"/>
      <c r="B25" s="1"/>
      <c r="C25" s="1"/>
      <c r="D25" s="39"/>
      <c r="E25" s="1"/>
      <c r="F25" s="1"/>
      <c r="G25" s="1"/>
      <c r="H25" s="1"/>
      <c r="I25" s="1"/>
      <c r="J25" s="1"/>
      <c r="K25" s="1"/>
      <c r="L25" s="1"/>
      <c r="M25" s="1"/>
      <c r="N25" s="1"/>
    </row>
    <row r="26" spans="1:14">
      <c r="C26" s="1"/>
      <c r="D26" s="39"/>
    </row>
    <row r="27" spans="1:14">
      <c r="C27" s="1"/>
      <c r="D27" s="39"/>
    </row>
    <row r="28" spans="1:14">
      <c r="C28" s="1"/>
      <c r="D28" s="39"/>
    </row>
    <row r="30" spans="1:14" s="4" customFormat="1">
      <c r="A30" s="1"/>
      <c r="B30" s="1"/>
      <c r="C30" s="39"/>
      <c r="D30" s="1"/>
      <c r="E30" s="1"/>
      <c r="F30" s="1"/>
      <c r="G30" s="1"/>
      <c r="H30" s="1"/>
      <c r="I30" s="1"/>
      <c r="J30" s="1"/>
      <c r="K30" s="1"/>
      <c r="L30" s="1"/>
      <c r="M30" s="1"/>
    </row>
    <row r="31" spans="1:14" s="18" customFormat="1">
      <c r="A31" s="1"/>
      <c r="B31" s="1"/>
      <c r="C31" s="39"/>
      <c r="D31" s="1"/>
      <c r="E31" s="1"/>
      <c r="F31" s="1"/>
      <c r="G31" s="1"/>
      <c r="H31" s="1"/>
      <c r="I31" s="1"/>
      <c r="J31" s="1"/>
      <c r="K31" s="1"/>
      <c r="L31" s="1"/>
      <c r="M31" s="1"/>
    </row>
    <row r="34" spans="1:13" s="18" customFormat="1">
      <c r="A34" s="1"/>
      <c r="B34" s="1"/>
      <c r="C34" s="39"/>
      <c r="D34" s="1"/>
      <c r="E34" s="1"/>
      <c r="F34" s="1"/>
      <c r="G34" s="1"/>
      <c r="H34" s="1"/>
      <c r="I34" s="1"/>
      <c r="J34" s="1"/>
      <c r="K34" s="1"/>
      <c r="L34" s="1"/>
      <c r="M34" s="1"/>
    </row>
    <row r="39" spans="1:13" s="4" customFormat="1">
      <c r="A39" s="1"/>
      <c r="B39" s="1"/>
      <c r="C39" s="39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s="18" customFormat="1">
      <c r="A40" s="1"/>
      <c r="B40" s="1"/>
      <c r="C40" s="39"/>
      <c r="D40" s="1"/>
      <c r="E40" s="1"/>
      <c r="F40" s="1"/>
      <c r="G40" s="1"/>
      <c r="H40" s="1"/>
      <c r="I40" s="1"/>
      <c r="J40" s="1"/>
      <c r="K40" s="1"/>
      <c r="L40" s="1"/>
      <c r="M40" s="1"/>
    </row>
    <row r="43" spans="1:13" s="18" customFormat="1">
      <c r="A43" s="1"/>
      <c r="B43" s="1"/>
      <c r="C43" s="39"/>
      <c r="D43" s="1"/>
      <c r="E43" s="1"/>
      <c r="F43" s="1"/>
      <c r="G43" s="1"/>
      <c r="H43" s="1"/>
      <c r="I43" s="1"/>
      <c r="J43" s="1"/>
      <c r="K43" s="1"/>
      <c r="L43" s="1"/>
      <c r="M43" s="1"/>
    </row>
    <row r="48" spans="1:13" s="4" customFormat="1">
      <c r="A48" s="1"/>
      <c r="B48" s="1"/>
      <c r="C48" s="39"/>
      <c r="D48" s="1"/>
      <c r="E48" s="1"/>
      <c r="F48" s="1"/>
      <c r="G48" s="1"/>
      <c r="H48" s="1"/>
      <c r="I48" s="1"/>
      <c r="J48" s="1"/>
      <c r="K48" s="1"/>
      <c r="L48" s="1"/>
      <c r="M48" s="1"/>
    </row>
    <row r="49" spans="1:13" s="20" customFormat="1">
      <c r="A49" s="1"/>
      <c r="B49" s="1"/>
      <c r="C49" s="39"/>
      <c r="D49" s="1"/>
      <c r="E49" s="1"/>
      <c r="F49" s="1"/>
      <c r="G49" s="1"/>
      <c r="H49" s="1"/>
      <c r="I49" s="1"/>
      <c r="J49" s="1"/>
      <c r="K49" s="1"/>
      <c r="L49" s="1"/>
      <c r="M49" s="1"/>
    </row>
    <row r="52" spans="1:13" s="20" customFormat="1">
      <c r="A52" s="1"/>
      <c r="B52" s="1"/>
      <c r="C52" s="39"/>
      <c r="D52" s="1"/>
      <c r="E52" s="1"/>
      <c r="F52" s="1"/>
      <c r="G52" s="1"/>
      <c r="H52" s="1"/>
      <c r="I52" s="1"/>
      <c r="J52" s="1"/>
      <c r="K52" s="1"/>
      <c r="L52" s="1"/>
      <c r="M52" s="1"/>
    </row>
    <row r="57" spans="1:13" s="20" customFormat="1">
      <c r="A57" s="1"/>
      <c r="B57" s="1"/>
      <c r="C57" s="39"/>
      <c r="D57" s="1"/>
      <c r="E57" s="1"/>
      <c r="F57" s="1"/>
      <c r="G57" s="1"/>
      <c r="H57" s="1"/>
      <c r="I57" s="1"/>
      <c r="J57" s="1"/>
      <c r="K57" s="1"/>
      <c r="L57" s="1"/>
      <c r="M57" s="1"/>
    </row>
    <row r="58" spans="1:13" s="32" customFormat="1">
      <c r="A58" s="1"/>
      <c r="B58" s="1"/>
      <c r="C58" s="39"/>
      <c r="D58" s="1"/>
      <c r="E58" s="1"/>
      <c r="F58" s="1"/>
      <c r="G58" s="1"/>
      <c r="H58" s="1"/>
      <c r="I58" s="1"/>
      <c r="J58" s="1"/>
      <c r="K58" s="1"/>
      <c r="L58" s="1"/>
      <c r="M58" s="1"/>
    </row>
    <row r="59" spans="1:13" s="33" customFormat="1">
      <c r="A59" s="1"/>
      <c r="B59" s="1"/>
      <c r="C59" s="39"/>
      <c r="D59" s="1"/>
      <c r="E59" s="1"/>
      <c r="F59" s="1"/>
      <c r="G59" s="1"/>
      <c r="H59" s="1"/>
      <c r="I59" s="1"/>
      <c r="J59" s="1"/>
      <c r="K59" s="1"/>
      <c r="L59" s="1"/>
      <c r="M59" s="1"/>
    </row>
  </sheetData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O58"/>
  <sheetViews>
    <sheetView topLeftCell="A2" zoomScale="98" zoomScaleNormal="98" zoomScaleSheetLayoutView="100" workbookViewId="0">
      <selection activeCell="J15" sqref="J15"/>
    </sheetView>
  </sheetViews>
  <sheetFormatPr defaultColWidth="9.75" defaultRowHeight="18.75"/>
  <cols>
    <col min="1" max="1" width="20.75" style="58" customWidth="1"/>
    <col min="2" max="2" width="11" style="66" hidden="1" customWidth="1"/>
    <col min="3" max="4" width="11" style="58" hidden="1" customWidth="1"/>
    <col min="5" max="5" width="11.375" style="58" bestFit="1" customWidth="1"/>
    <col min="6" max="7" width="12" style="58" bestFit="1" customWidth="1"/>
    <col min="8" max="8" width="12.25" style="58" bestFit="1" customWidth="1"/>
    <col min="9" max="9" width="12.25" style="66" bestFit="1" customWidth="1"/>
    <col min="10" max="10" width="12.25" style="58" bestFit="1" customWidth="1"/>
    <col min="11" max="13" width="10.5" style="58" bestFit="1" customWidth="1"/>
    <col min="14" max="14" width="12" style="58" bestFit="1" customWidth="1"/>
    <col min="15" max="15" width="11.25" style="58" bestFit="1" customWidth="1"/>
    <col min="16" max="16384" width="9.75" style="58"/>
  </cols>
  <sheetData>
    <row r="1" spans="1:15" ht="25.5" customHeight="1">
      <c r="A1" s="99" t="s">
        <v>14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</row>
    <row r="2" spans="1:15" s="59" customFormat="1" ht="17.25" customHeight="1">
      <c r="A2" s="40" t="s">
        <v>12</v>
      </c>
      <c r="B2" s="41" t="s">
        <v>57</v>
      </c>
      <c r="C2" s="40" t="s">
        <v>58</v>
      </c>
      <c r="D2" s="42" t="s">
        <v>59</v>
      </c>
      <c r="E2" s="40" t="s">
        <v>60</v>
      </c>
      <c r="F2" s="40" t="s">
        <v>61</v>
      </c>
      <c r="G2" s="40" t="s">
        <v>62</v>
      </c>
      <c r="H2" s="40" t="s">
        <v>63</v>
      </c>
      <c r="I2" s="40" t="s">
        <v>64</v>
      </c>
      <c r="J2" s="40" t="s">
        <v>65</v>
      </c>
      <c r="K2" s="40" t="s">
        <v>66</v>
      </c>
      <c r="L2" s="40" t="s">
        <v>67</v>
      </c>
      <c r="M2" s="40" t="s">
        <v>68</v>
      </c>
    </row>
    <row r="3" spans="1:15" s="60" customFormat="1" ht="23.25">
      <c r="A3" s="8" t="s">
        <v>27</v>
      </c>
      <c r="B3" s="3">
        <f>+B4+B7+B12+B14+B16</f>
        <v>1081653.6400000001</v>
      </c>
      <c r="C3" s="3">
        <f t="shared" ref="C3:D3" si="0">+C4+C7+C12+C14+C16</f>
        <v>2699670.86</v>
      </c>
      <c r="D3" s="3">
        <f t="shared" si="0"/>
        <v>6427566.7400000002</v>
      </c>
      <c r="E3" s="3">
        <f>+E4+E7+E12+E14+E16</f>
        <v>8109228.9900000002</v>
      </c>
      <c r="F3" s="3">
        <f t="shared" ref="F3:H3" si="1">+F4+F7+F12+F14+F16</f>
        <v>12999656.889999999</v>
      </c>
      <c r="G3" s="3">
        <f>+G4+G7+G12+G14+G16</f>
        <v>16571086.989999998</v>
      </c>
      <c r="H3" s="3">
        <f t="shared" si="1"/>
        <v>17864308.859999999</v>
      </c>
      <c r="I3" s="3">
        <f>+I4+I7+I12+I14+I16</f>
        <v>19519437.589999996</v>
      </c>
      <c r="J3" s="3">
        <f>+J4+J7+J12+J14+J16</f>
        <v>23063708.039999999</v>
      </c>
      <c r="K3" s="3">
        <f t="shared" ref="K3:M3" si="2">+K4+K7+K12+K14+K16</f>
        <v>0</v>
      </c>
      <c r="L3" s="3">
        <f t="shared" si="2"/>
        <v>0</v>
      </c>
      <c r="M3" s="3">
        <f t="shared" si="2"/>
        <v>0</v>
      </c>
      <c r="N3" s="72"/>
    </row>
    <row r="4" spans="1:15" ht="23.25">
      <c r="A4" s="15" t="s">
        <v>15</v>
      </c>
      <c r="B4" s="16">
        <f>SUM(B5:B6)</f>
        <v>0</v>
      </c>
      <c r="C4" s="16">
        <f t="shared" ref="C4" si="3">SUM(C5:C6)</f>
        <v>0</v>
      </c>
      <c r="D4" s="16">
        <f>SUM(D5:D6)</f>
        <v>0</v>
      </c>
      <c r="E4" s="16">
        <f>SUM(E5:E6)</f>
        <v>0</v>
      </c>
      <c r="F4" s="16">
        <f t="shared" ref="F4:H4" si="4">SUM(F5:F6)</f>
        <v>0</v>
      </c>
      <c r="G4" s="16">
        <f t="shared" si="4"/>
        <v>0</v>
      </c>
      <c r="H4" s="16">
        <f t="shared" si="4"/>
        <v>0</v>
      </c>
      <c r="I4" s="16">
        <f>SUM(I5:I6)</f>
        <v>0</v>
      </c>
      <c r="J4" s="16">
        <f>SUM(J5:J6)</f>
        <v>0</v>
      </c>
      <c r="K4" s="16">
        <f t="shared" ref="K4:M4" si="5">SUM(K5:K6)</f>
        <v>0</v>
      </c>
      <c r="L4" s="16">
        <f t="shared" si="5"/>
        <v>0</v>
      </c>
      <c r="M4" s="16">
        <f t="shared" si="5"/>
        <v>0</v>
      </c>
      <c r="O4" s="63"/>
    </row>
    <row r="5" spans="1:15">
      <c r="A5" s="64" t="s">
        <v>16</v>
      </c>
      <c r="B5" s="56"/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  <c r="N5" s="66"/>
      <c r="O5" s="63"/>
    </row>
    <row r="6" spans="1:15" s="60" customFormat="1">
      <c r="A6" s="67" t="s">
        <v>22</v>
      </c>
      <c r="B6" s="56"/>
      <c r="C6" s="56"/>
      <c r="D6" s="56"/>
      <c r="E6" s="56"/>
      <c r="F6" s="56"/>
      <c r="G6" s="56"/>
      <c r="H6" s="56"/>
      <c r="I6" s="56"/>
      <c r="J6" s="56"/>
      <c r="K6" s="56"/>
      <c r="L6" s="56"/>
      <c r="M6" s="56"/>
    </row>
    <row r="7" spans="1:15">
      <c r="A7" s="61" t="s">
        <v>17</v>
      </c>
      <c r="B7" s="62">
        <f>SUM(B8:B11)</f>
        <v>897405.27</v>
      </c>
      <c r="C7" s="62">
        <f t="shared" ref="C7:D7" si="6">SUM(C8:C11)</f>
        <v>1828608.16</v>
      </c>
      <c r="D7" s="62">
        <f t="shared" si="6"/>
        <v>3607885.8099999996</v>
      </c>
      <c r="E7" s="62">
        <f>SUM(E8:E11)</f>
        <v>4698539.91</v>
      </c>
      <c r="F7" s="62">
        <f t="shared" ref="F7:G7" si="7">SUM(F8:F11)</f>
        <v>7133516.6199999992</v>
      </c>
      <c r="G7" s="62">
        <f t="shared" si="7"/>
        <v>9271177.8899999987</v>
      </c>
      <c r="H7" s="62">
        <f>SUM(H8:H11)</f>
        <v>10364399.989999998</v>
      </c>
      <c r="I7" s="62">
        <f t="shared" ref="I7:L7" si="8">SUM(I8:I11)</f>
        <v>11276290.319999998</v>
      </c>
      <c r="J7" s="62">
        <f>SUM(J8:J11)</f>
        <v>12343195.149999999</v>
      </c>
      <c r="K7" s="62">
        <f t="shared" si="8"/>
        <v>0</v>
      </c>
      <c r="L7" s="62">
        <f t="shared" si="8"/>
        <v>0</v>
      </c>
      <c r="M7" s="62">
        <f>SUM(M8:M11)</f>
        <v>0</v>
      </c>
      <c r="N7" s="68"/>
    </row>
    <row r="8" spans="1:15">
      <c r="A8" s="69" t="s">
        <v>21</v>
      </c>
      <c r="B8" s="65">
        <v>98573.03</v>
      </c>
      <c r="C8" s="65">
        <v>118223.03</v>
      </c>
      <c r="D8" s="65">
        <v>224703.03</v>
      </c>
      <c r="E8" s="65">
        <v>298553.03000000003</v>
      </c>
      <c r="F8" s="65">
        <v>485899.85</v>
      </c>
      <c r="G8" s="65">
        <v>574799.85</v>
      </c>
      <c r="H8" s="65">
        <v>612599.85</v>
      </c>
      <c r="I8" s="65">
        <v>625179.85</v>
      </c>
      <c r="J8" s="65">
        <v>729029.85</v>
      </c>
      <c r="K8" s="65"/>
      <c r="L8" s="65"/>
      <c r="M8" s="65"/>
      <c r="O8" s="68"/>
    </row>
    <row r="9" spans="1:15">
      <c r="A9" s="69" t="s">
        <v>18</v>
      </c>
      <c r="B9" s="65">
        <v>621194.93999999994</v>
      </c>
      <c r="C9" s="65">
        <v>1401232.93</v>
      </c>
      <c r="D9" s="65">
        <v>2416353.0099999998</v>
      </c>
      <c r="E9" s="65">
        <v>3133788.54</v>
      </c>
      <c r="F9" s="65">
        <v>5139473.96</v>
      </c>
      <c r="G9" s="65">
        <v>6862353.2999999998</v>
      </c>
      <c r="H9" s="65">
        <v>7601380.3399999999</v>
      </c>
      <c r="I9" s="65">
        <v>8425396.5700000003</v>
      </c>
      <c r="J9" s="65">
        <f>9298943.4+59000</f>
        <v>9357943.4000000004</v>
      </c>
      <c r="K9" s="65"/>
      <c r="L9" s="65"/>
      <c r="M9" s="65"/>
    </row>
    <row r="10" spans="1:15">
      <c r="A10" s="69" t="s">
        <v>19</v>
      </c>
      <c r="B10" s="65">
        <v>177637.3</v>
      </c>
      <c r="C10" s="65">
        <v>309152.2</v>
      </c>
      <c r="D10" s="65">
        <v>538351.91</v>
      </c>
      <c r="E10" s="65">
        <v>533119.51</v>
      </c>
      <c r="F10" s="65">
        <v>552687.51</v>
      </c>
      <c r="G10" s="65">
        <v>824977.8</v>
      </c>
      <c r="H10" s="65">
        <v>928589.6</v>
      </c>
      <c r="I10" s="65">
        <v>1003883.7</v>
      </c>
      <c r="J10" s="65">
        <v>1034391.7</v>
      </c>
      <c r="K10" s="65"/>
      <c r="L10" s="65"/>
      <c r="M10" s="65"/>
    </row>
    <row r="11" spans="1:15" s="60" customFormat="1">
      <c r="A11" s="69" t="s">
        <v>31</v>
      </c>
      <c r="B11" s="65"/>
      <c r="C11" s="65"/>
      <c r="D11" s="65">
        <v>428477.86</v>
      </c>
      <c r="E11" s="65">
        <v>733078.83</v>
      </c>
      <c r="F11" s="65">
        <v>955455.3</v>
      </c>
      <c r="G11" s="65">
        <v>1009046.94</v>
      </c>
      <c r="H11" s="65">
        <v>1221830.2</v>
      </c>
      <c r="I11" s="65">
        <v>1221830.2</v>
      </c>
      <c r="J11" s="65">
        <v>1221830.2</v>
      </c>
      <c r="K11" s="65"/>
      <c r="L11" s="65"/>
      <c r="M11" s="65"/>
    </row>
    <row r="12" spans="1:15" s="60" customFormat="1">
      <c r="A12" s="70" t="s">
        <v>30</v>
      </c>
      <c r="B12" s="71">
        <f t="shared" ref="B12:H12" si="9">SUM(B13)</f>
        <v>184248.37</v>
      </c>
      <c r="C12" s="71">
        <f t="shared" si="9"/>
        <v>871062.7</v>
      </c>
      <c r="D12" s="71">
        <f t="shared" si="9"/>
        <v>1640680.9300000002</v>
      </c>
      <c r="E12" s="71">
        <f t="shared" si="9"/>
        <v>2231689.08</v>
      </c>
      <c r="F12" s="71">
        <f t="shared" si="9"/>
        <v>4687140.2699999996</v>
      </c>
      <c r="G12" s="71">
        <f t="shared" si="9"/>
        <v>6120909.0999999996</v>
      </c>
      <c r="H12" s="71">
        <f t="shared" si="9"/>
        <v>6320908.8699999992</v>
      </c>
      <c r="I12" s="71">
        <f t="shared" ref="I12:M12" si="10">SUM(I13)</f>
        <v>7064147.2699999996</v>
      </c>
      <c r="J12" s="71">
        <f t="shared" si="10"/>
        <v>9541512.8900000006</v>
      </c>
      <c r="K12" s="71">
        <f t="shared" si="10"/>
        <v>0</v>
      </c>
      <c r="L12" s="71">
        <f t="shared" si="10"/>
        <v>0</v>
      </c>
      <c r="M12" s="71">
        <f t="shared" si="10"/>
        <v>0</v>
      </c>
      <c r="N12" s="72"/>
    </row>
    <row r="13" spans="1:15" s="60" customFormat="1">
      <c r="A13" s="73" t="s">
        <v>25</v>
      </c>
      <c r="B13" s="65">
        <v>184248.37</v>
      </c>
      <c r="C13" s="65">
        <f>730014.33+141048.37</f>
        <v>871062.7</v>
      </c>
      <c r="D13" s="65">
        <f>1222927.56+223548.37+194205</f>
        <v>1640680.9300000002</v>
      </c>
      <c r="E13" s="65">
        <f>360400+1282127.71+394956.37+194205</f>
        <v>2231689.08</v>
      </c>
      <c r="F13" s="65">
        <f>818577.68+249999.91+1922827.71+701530.1+194205+799999.87</f>
        <v>4687140.2699999996</v>
      </c>
      <c r="G13" s="65">
        <f>918534.23+249999.91+2984984.99+865185.1+302205+799999.87</f>
        <v>6120909.0999999996</v>
      </c>
      <c r="H13" s="65">
        <f>1297096.41+249999.91+2640232.48+905185.1+332705+95690.1+799999.87</f>
        <v>6320908.8699999992</v>
      </c>
      <c r="I13" s="65">
        <v>7064147.2699999996</v>
      </c>
      <c r="J13" s="65">
        <v>9541512.8900000006</v>
      </c>
      <c r="K13" s="65"/>
      <c r="L13" s="65"/>
      <c r="M13" s="65"/>
      <c r="N13" s="72"/>
    </row>
    <row r="14" spans="1:15">
      <c r="A14" s="70" t="s">
        <v>35</v>
      </c>
      <c r="B14" s="62">
        <f t="shared" ref="B14:H14" si="11">SUM(B15)</f>
        <v>0</v>
      </c>
      <c r="C14" s="62">
        <f t="shared" si="11"/>
        <v>0</v>
      </c>
      <c r="D14" s="62">
        <f t="shared" si="11"/>
        <v>0</v>
      </c>
      <c r="E14" s="62">
        <f t="shared" si="11"/>
        <v>0</v>
      </c>
      <c r="F14" s="62">
        <f t="shared" si="11"/>
        <v>0</v>
      </c>
      <c r="G14" s="62">
        <f t="shared" si="11"/>
        <v>0</v>
      </c>
      <c r="H14" s="62">
        <f t="shared" si="11"/>
        <v>0</v>
      </c>
      <c r="I14" s="62">
        <f t="shared" ref="I14:M14" si="12">SUM(I15)</f>
        <v>0</v>
      </c>
      <c r="J14" s="62">
        <f t="shared" si="12"/>
        <v>0</v>
      </c>
      <c r="K14" s="62">
        <f t="shared" si="12"/>
        <v>0</v>
      </c>
      <c r="L14" s="62">
        <f t="shared" si="12"/>
        <v>0</v>
      </c>
      <c r="M14" s="62">
        <f t="shared" si="12"/>
        <v>0</v>
      </c>
      <c r="N14" s="66"/>
    </row>
    <row r="15" spans="1:15">
      <c r="A15" s="57" t="s">
        <v>37</v>
      </c>
      <c r="B15" s="56"/>
      <c r="C15" s="56"/>
      <c r="D15" s="56"/>
      <c r="E15" s="56"/>
      <c r="F15" s="56"/>
      <c r="G15" s="56"/>
      <c r="H15" s="56"/>
      <c r="I15" s="56"/>
      <c r="J15" s="56"/>
      <c r="K15" s="56"/>
      <c r="L15" s="56"/>
      <c r="M15" s="56"/>
    </row>
    <row r="16" spans="1:15" s="60" customFormat="1">
      <c r="A16" s="70" t="s">
        <v>39</v>
      </c>
      <c r="B16" s="62">
        <f t="shared" ref="B16:G16" si="13">SUM(B17:B18)</f>
        <v>0</v>
      </c>
      <c r="C16" s="62">
        <f t="shared" si="13"/>
        <v>0</v>
      </c>
      <c r="D16" s="62">
        <f t="shared" si="13"/>
        <v>1179000</v>
      </c>
      <c r="E16" s="62">
        <f t="shared" si="13"/>
        <v>1179000</v>
      </c>
      <c r="F16" s="62">
        <f t="shared" si="13"/>
        <v>1179000</v>
      </c>
      <c r="G16" s="62">
        <f t="shared" si="13"/>
        <v>1179000</v>
      </c>
      <c r="H16" s="62">
        <f>SUM(H17:H18)</f>
        <v>1179000</v>
      </c>
      <c r="I16" s="62">
        <f t="shared" ref="I16:L16" si="14">SUM(I17:I18)</f>
        <v>1179000</v>
      </c>
      <c r="J16" s="62">
        <f t="shared" si="14"/>
        <v>1179000</v>
      </c>
      <c r="K16" s="62">
        <f t="shared" si="14"/>
        <v>0</v>
      </c>
      <c r="L16" s="62">
        <f t="shared" si="14"/>
        <v>0</v>
      </c>
      <c r="M16" s="62">
        <f>SUM(M17:M18)</f>
        <v>0</v>
      </c>
    </row>
    <row r="17" spans="1:14">
      <c r="A17" s="57" t="s">
        <v>40</v>
      </c>
      <c r="B17" s="56"/>
      <c r="C17" s="56"/>
      <c r="D17" s="56">
        <v>1179000</v>
      </c>
      <c r="E17" s="56">
        <v>1179000</v>
      </c>
      <c r="F17" s="56">
        <v>1179000</v>
      </c>
      <c r="G17" s="56">
        <v>1179000</v>
      </c>
      <c r="H17" s="56">
        <v>1179000</v>
      </c>
      <c r="I17" s="56">
        <v>1179000</v>
      </c>
      <c r="J17" s="56">
        <v>1179000</v>
      </c>
      <c r="K17" s="56"/>
      <c r="L17" s="56"/>
      <c r="M17" s="65"/>
      <c r="N17" s="68"/>
    </row>
    <row r="18" spans="1:14">
      <c r="A18" s="57" t="s">
        <v>38</v>
      </c>
      <c r="B18" s="56"/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</row>
    <row r="19" spans="1:14">
      <c r="L19" s="68"/>
    </row>
    <row r="20" spans="1:14" s="74" customFormat="1">
      <c r="A20" s="58"/>
      <c r="B20" s="66"/>
      <c r="C20" s="58"/>
      <c r="D20" s="58"/>
      <c r="E20" s="58"/>
      <c r="F20" s="58"/>
      <c r="G20" s="58"/>
      <c r="H20" s="58"/>
      <c r="I20" s="66"/>
      <c r="J20" s="58"/>
      <c r="K20" s="58"/>
      <c r="L20" s="58"/>
      <c r="M20" s="58"/>
    </row>
    <row r="21" spans="1:14" s="60" customFormat="1">
      <c r="A21" s="58"/>
      <c r="B21" s="66"/>
      <c r="C21" s="58"/>
      <c r="D21" s="58"/>
      <c r="E21" s="58"/>
      <c r="F21" s="66"/>
      <c r="G21" s="58"/>
      <c r="H21" s="58"/>
      <c r="I21" s="66"/>
      <c r="J21" s="58"/>
      <c r="K21" s="58"/>
      <c r="L21" s="58"/>
      <c r="M21" s="58"/>
    </row>
    <row r="22" spans="1:14">
      <c r="F22" s="68"/>
      <c r="G22" s="68"/>
    </row>
    <row r="24" spans="1:14" s="60" customFormat="1">
      <c r="A24" s="58"/>
      <c r="B24" s="66"/>
      <c r="C24" s="58"/>
      <c r="D24" s="58"/>
      <c r="E24" s="58"/>
      <c r="F24" s="58"/>
      <c r="G24" s="58"/>
      <c r="H24" s="58"/>
      <c r="I24" s="66"/>
      <c r="J24" s="58"/>
      <c r="K24" s="58"/>
      <c r="L24" s="58"/>
      <c r="M24" s="58"/>
    </row>
    <row r="27" spans="1:14">
      <c r="J27" s="68"/>
    </row>
    <row r="29" spans="1:14" s="74" customFormat="1">
      <c r="A29" s="58"/>
      <c r="B29" s="66"/>
      <c r="C29" s="58"/>
      <c r="D29" s="58"/>
      <c r="E29" s="58"/>
      <c r="F29" s="58"/>
      <c r="G29" s="58"/>
      <c r="H29" s="58"/>
      <c r="I29" s="66"/>
      <c r="J29" s="58"/>
      <c r="K29" s="58"/>
      <c r="L29" s="58"/>
      <c r="M29" s="58"/>
    </row>
    <row r="30" spans="1:14" s="60" customFormat="1">
      <c r="A30" s="58"/>
      <c r="B30" s="66"/>
      <c r="C30" s="58"/>
      <c r="D30" s="58"/>
      <c r="E30" s="58"/>
      <c r="F30" s="58"/>
      <c r="G30" s="58"/>
      <c r="H30" s="58"/>
      <c r="I30" s="66"/>
      <c r="J30" s="58"/>
      <c r="K30" s="58"/>
      <c r="L30" s="58"/>
      <c r="M30" s="58"/>
    </row>
    <row r="33" spans="1:13" s="60" customFormat="1">
      <c r="A33" s="58"/>
      <c r="B33" s="66"/>
      <c r="C33" s="58"/>
      <c r="D33" s="58"/>
      <c r="E33" s="58"/>
      <c r="F33" s="58"/>
      <c r="G33" s="58"/>
      <c r="H33" s="58"/>
      <c r="I33" s="66"/>
      <c r="J33" s="58"/>
      <c r="K33" s="58"/>
      <c r="L33" s="58"/>
      <c r="M33" s="58"/>
    </row>
    <row r="38" spans="1:13" s="74" customFormat="1">
      <c r="A38" s="58"/>
      <c r="B38" s="66"/>
      <c r="C38" s="58"/>
      <c r="D38" s="58"/>
      <c r="E38" s="58"/>
      <c r="F38" s="58"/>
      <c r="G38" s="58"/>
      <c r="H38" s="58"/>
      <c r="I38" s="66"/>
      <c r="J38" s="58"/>
      <c r="K38" s="58"/>
      <c r="L38" s="58"/>
      <c r="M38" s="58"/>
    </row>
    <row r="39" spans="1:13" s="60" customFormat="1">
      <c r="A39" s="58"/>
      <c r="B39" s="66"/>
      <c r="C39" s="58"/>
      <c r="D39" s="58"/>
      <c r="E39" s="58"/>
      <c r="F39" s="58"/>
      <c r="G39" s="58"/>
      <c r="H39" s="58"/>
      <c r="I39" s="66"/>
      <c r="J39" s="58"/>
      <c r="K39" s="58"/>
      <c r="L39" s="58"/>
      <c r="M39" s="58"/>
    </row>
    <row r="42" spans="1:13" s="60" customFormat="1">
      <c r="A42" s="58"/>
      <c r="B42" s="66"/>
      <c r="C42" s="58"/>
      <c r="D42" s="58"/>
      <c r="E42" s="58"/>
      <c r="F42" s="58"/>
      <c r="G42" s="58"/>
      <c r="H42" s="58"/>
      <c r="I42" s="66"/>
      <c r="J42" s="58"/>
      <c r="K42" s="58"/>
      <c r="L42" s="58"/>
      <c r="M42" s="58"/>
    </row>
    <row r="47" spans="1:13" s="74" customFormat="1">
      <c r="A47" s="58"/>
      <c r="B47" s="66"/>
      <c r="C47" s="58"/>
      <c r="D47" s="58"/>
      <c r="E47" s="58"/>
      <c r="F47" s="58"/>
      <c r="G47" s="58"/>
      <c r="H47" s="58"/>
      <c r="I47" s="66"/>
      <c r="J47" s="58"/>
      <c r="K47" s="58"/>
      <c r="L47" s="58"/>
      <c r="M47" s="58"/>
    </row>
    <row r="48" spans="1:13" s="75" customFormat="1">
      <c r="A48" s="58"/>
      <c r="B48" s="66"/>
      <c r="C48" s="58"/>
      <c r="D48" s="58"/>
      <c r="E48" s="58"/>
      <c r="F48" s="58"/>
      <c r="G48" s="58"/>
      <c r="H48" s="58"/>
      <c r="I48" s="66"/>
      <c r="J48" s="58"/>
      <c r="K48" s="58"/>
      <c r="L48" s="58"/>
      <c r="M48" s="58"/>
    </row>
    <row r="51" spans="1:13" s="75" customFormat="1">
      <c r="A51" s="58"/>
      <c r="B51" s="66"/>
      <c r="C51" s="58"/>
      <c r="D51" s="58"/>
      <c r="E51" s="58"/>
      <c r="F51" s="58"/>
      <c r="G51" s="58"/>
      <c r="H51" s="58"/>
      <c r="I51" s="66"/>
      <c r="J51" s="58"/>
      <c r="K51" s="58"/>
      <c r="L51" s="58"/>
      <c r="M51" s="58"/>
    </row>
    <row r="56" spans="1:13" s="75" customFormat="1">
      <c r="A56" s="58"/>
      <c r="B56" s="66"/>
      <c r="C56" s="58"/>
      <c r="D56" s="58"/>
      <c r="E56" s="58"/>
      <c r="F56" s="58"/>
      <c r="G56" s="58"/>
      <c r="H56" s="58"/>
      <c r="I56" s="66"/>
      <c r="J56" s="58"/>
      <c r="K56" s="58"/>
      <c r="L56" s="58"/>
      <c r="M56" s="58"/>
    </row>
    <row r="57" spans="1:13" s="76" customFormat="1">
      <c r="A57" s="58"/>
      <c r="B57" s="66"/>
      <c r="C57" s="58"/>
      <c r="D57" s="58"/>
      <c r="E57" s="58"/>
      <c r="F57" s="58"/>
      <c r="G57" s="58"/>
      <c r="H57" s="58"/>
      <c r="I57" s="66"/>
      <c r="J57" s="58"/>
      <c r="K57" s="58"/>
      <c r="L57" s="58"/>
      <c r="M57" s="58"/>
    </row>
    <row r="58" spans="1:13" s="77" customFormat="1">
      <c r="A58" s="58"/>
      <c r="B58" s="66"/>
      <c r="C58" s="58"/>
      <c r="D58" s="58"/>
      <c r="E58" s="58"/>
      <c r="F58" s="58"/>
      <c r="G58" s="58"/>
      <c r="H58" s="58"/>
      <c r="I58" s="66"/>
      <c r="J58" s="58"/>
      <c r="K58" s="58"/>
      <c r="L58" s="58"/>
      <c r="M58" s="58"/>
    </row>
  </sheetData>
  <pageMargins left="1.02" right="0.70866141732283472" top="0.74803149606299213" bottom="0.74803149606299213" header="0.31496062992125984" footer="0.31496062992125984"/>
  <pageSetup paperSize="9" orientation="landscape" r:id="rId1"/>
  <colBreaks count="1" manualBreakCount="1">
    <brk id="12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>
  <dimension ref="A2:N42"/>
  <sheetViews>
    <sheetView topLeftCell="A10" zoomScaleNormal="100" zoomScaleSheetLayoutView="130" workbookViewId="0">
      <selection activeCell="J22" sqref="J22"/>
    </sheetView>
  </sheetViews>
  <sheetFormatPr defaultRowHeight="23.25"/>
  <cols>
    <col min="1" max="1" width="23.75" style="1" bestFit="1" customWidth="1"/>
    <col min="2" max="3" width="11.125" style="1" hidden="1" customWidth="1"/>
    <col min="4" max="4" width="11.375" style="39" hidden="1" customWidth="1"/>
    <col min="5" max="5" width="13.25" style="1" hidden="1" customWidth="1"/>
    <col min="6" max="7" width="12" style="1" customWidth="1"/>
    <col min="8" max="8" width="13.25" style="39" bestFit="1" customWidth="1"/>
    <col min="9" max="9" width="15" style="1" customWidth="1"/>
    <col min="10" max="10" width="13" style="1" bestFit="1" customWidth="1"/>
    <col min="11" max="11" width="12.375" style="1" bestFit="1" customWidth="1"/>
    <col min="12" max="12" width="13" style="1" customWidth="1"/>
    <col min="13" max="13" width="12" style="1" bestFit="1" customWidth="1"/>
    <col min="14" max="14" width="13" style="1" bestFit="1" customWidth="1"/>
    <col min="15" max="16384" width="9" style="1"/>
  </cols>
  <sheetData>
    <row r="2" spans="1:14">
      <c r="A2" s="99" t="s">
        <v>47</v>
      </c>
      <c r="B2" s="98"/>
      <c r="C2" s="98"/>
      <c r="D2" s="97"/>
      <c r="E2" s="98"/>
      <c r="F2" s="98"/>
      <c r="G2" s="98"/>
      <c r="H2" s="97"/>
      <c r="I2" s="98"/>
      <c r="J2" s="98"/>
      <c r="K2" s="98"/>
      <c r="L2" s="98"/>
      <c r="M2" s="98"/>
    </row>
    <row r="3" spans="1:14" s="43" customFormat="1" ht="17.25" customHeight="1">
      <c r="A3" s="40" t="s">
        <v>12</v>
      </c>
      <c r="B3" s="41" t="s">
        <v>57</v>
      </c>
      <c r="C3" s="40" t="s">
        <v>58</v>
      </c>
      <c r="D3" s="42" t="s">
        <v>59</v>
      </c>
      <c r="E3" s="40" t="s">
        <v>60</v>
      </c>
      <c r="F3" s="40" t="s">
        <v>61</v>
      </c>
      <c r="G3" s="40" t="s">
        <v>62</v>
      </c>
      <c r="H3" s="40" t="s">
        <v>63</v>
      </c>
      <c r="I3" s="40" t="s">
        <v>64</v>
      </c>
      <c r="J3" s="40" t="s">
        <v>65</v>
      </c>
      <c r="K3" s="40" t="s">
        <v>66</v>
      </c>
      <c r="L3" s="40" t="s">
        <v>67</v>
      </c>
      <c r="M3" s="40" t="s">
        <v>68</v>
      </c>
    </row>
    <row r="4" spans="1:14">
      <c r="A4" s="8" t="s">
        <v>27</v>
      </c>
      <c r="B4" s="14">
        <f>+B5+B10+B12+B14</f>
        <v>1063359.8500000001</v>
      </c>
      <c r="C4" s="14">
        <f t="shared" ref="C4" si="0">+C5+C10+C12+C14</f>
        <v>3157420.11</v>
      </c>
      <c r="D4" s="14">
        <f>+D5+D10+D12+D14</f>
        <v>9718225.7700000014</v>
      </c>
      <c r="E4" s="14">
        <f>E5+E10+E12</f>
        <v>17195654.449999999</v>
      </c>
      <c r="F4" s="14">
        <f>+F5+F10+F12+F14</f>
        <v>21078772.670000002</v>
      </c>
      <c r="G4" s="14">
        <f>+G5+G10+G12+G14</f>
        <v>23565074.32</v>
      </c>
      <c r="H4" s="14">
        <f t="shared" ref="H4" si="1">+H5+H10+H12+H14</f>
        <v>25740222.580000002</v>
      </c>
      <c r="I4" s="14">
        <f>+I5+I10+I12+I14</f>
        <v>36014581.390000001</v>
      </c>
      <c r="J4" s="14">
        <f>+J5+J10+J12+J14</f>
        <v>47853197.489999995</v>
      </c>
      <c r="K4" s="14">
        <f>+K5+K10+K12+K14</f>
        <v>0</v>
      </c>
      <c r="L4" s="14">
        <f t="shared" ref="L4" si="2">+L5+L10+L12+L14</f>
        <v>0</v>
      </c>
      <c r="M4" s="14">
        <f>+M5+M10+M12+M14</f>
        <v>0</v>
      </c>
      <c r="N4" s="44"/>
    </row>
    <row r="5" spans="1:14" s="20" customFormat="1">
      <c r="A5" s="23" t="s">
        <v>49</v>
      </c>
      <c r="B5" s="22">
        <f t="shared" ref="B5:H5" si="3">SUM(B6:B9)</f>
        <v>567760.81000000006</v>
      </c>
      <c r="C5" s="22">
        <f t="shared" si="3"/>
        <v>1719792.3399999999</v>
      </c>
      <c r="D5" s="22">
        <f>SUM(D6:D9)</f>
        <v>3999532.85</v>
      </c>
      <c r="E5" s="22">
        <f>SUM(E6:E9)</f>
        <v>5383943.7700000005</v>
      </c>
      <c r="F5" s="22">
        <f t="shared" si="3"/>
        <v>7578491.1599999992</v>
      </c>
      <c r="G5" s="22">
        <f>SUM(G6:G9)</f>
        <v>8641872.4800000004</v>
      </c>
      <c r="H5" s="22">
        <f t="shared" si="3"/>
        <v>9979027.290000001</v>
      </c>
      <c r="I5" s="22">
        <f>SUM(I6:I9)</f>
        <v>15235288.9</v>
      </c>
      <c r="J5" s="22">
        <f>SUM(J6:J9)</f>
        <v>19228991.09</v>
      </c>
      <c r="K5" s="22">
        <f t="shared" ref="K5" si="4">SUM(K6:K9)</f>
        <v>0</v>
      </c>
      <c r="L5" s="22">
        <f t="shared" ref="L5" si="5">SUM(L6:L9)</f>
        <v>0</v>
      </c>
      <c r="M5" s="22">
        <f>SUM(M6:M9)</f>
        <v>0</v>
      </c>
    </row>
    <row r="6" spans="1:14">
      <c r="A6" s="5" t="s">
        <v>50</v>
      </c>
      <c r="B6" s="6">
        <f>15250+165622</f>
        <v>180872</v>
      </c>
      <c r="C6" s="6">
        <f>338411.78+12250+452480</f>
        <v>803141.78</v>
      </c>
      <c r="D6" s="6">
        <f>21000+27500+1494680</f>
        <v>1543180</v>
      </c>
      <c r="E6" s="6">
        <f>39000+25500+1038790</f>
        <v>1103290</v>
      </c>
      <c r="F6" s="6">
        <f>39000+25500+1462868.08</f>
        <v>1527368.08</v>
      </c>
      <c r="G6" s="6">
        <f>52855.9+38750+1733052.08</f>
        <v>1824657.98</v>
      </c>
      <c r="H6" s="6">
        <f>52855.9+38750+1980152.08</f>
        <v>2071757.98</v>
      </c>
      <c r="I6" s="6">
        <f>100855.9+38750+2366676.98</f>
        <v>2506282.88</v>
      </c>
      <c r="J6" s="6">
        <f>106055.9+38750+2683776.98</f>
        <v>2828582.88</v>
      </c>
      <c r="K6" s="6"/>
      <c r="L6" s="6"/>
      <c r="M6" s="6"/>
    </row>
    <row r="7" spans="1:14">
      <c r="A7" s="5" t="s">
        <v>51</v>
      </c>
      <c r="B7" s="6">
        <f>27777.4+47769.7+311341.71</f>
        <v>386888.81000000006</v>
      </c>
      <c r="C7" s="6">
        <f>10460.23+54557.5+851632.83</f>
        <v>916650.55999999994</v>
      </c>
      <c r="D7" s="6">
        <f>653631.78+73036.61+1618121.48</f>
        <v>2344789.87</v>
      </c>
      <c r="E7" s="6">
        <f>748682.32+71596.61+3377777.86</f>
        <v>4198056.79</v>
      </c>
      <c r="F7" s="6">
        <f>842082.32+237946.61+4873989.27</f>
        <v>5954018.1999999993</v>
      </c>
      <c r="G7" s="6">
        <f>1077332.42+252269.46+5390507.74</f>
        <v>6720109.6200000001</v>
      </c>
      <c r="H7" s="6">
        <f>1126682.42+260389.46+6394142.05</f>
        <v>7781213.9299999997</v>
      </c>
      <c r="I7" s="6">
        <f>2287002.62+2758139.46+7422202.36+61070</f>
        <v>12528414.440000001</v>
      </c>
      <c r="J7" s="6">
        <f>4550990.46+2808139.46+8565599.71+222187</f>
        <v>16146916.630000001</v>
      </c>
      <c r="K7" s="6"/>
      <c r="L7" s="6"/>
      <c r="M7" s="6"/>
    </row>
    <row r="8" spans="1:14">
      <c r="A8" s="5" t="s">
        <v>52</v>
      </c>
      <c r="B8" s="6"/>
      <c r="C8" s="6"/>
      <c r="D8" s="6">
        <f>97212.23+14350.75</f>
        <v>111562.98</v>
      </c>
      <c r="E8" s="6">
        <f>65146.23+17450.75</f>
        <v>82596.98000000001</v>
      </c>
      <c r="F8" s="6">
        <f>65146.23+1187.7+30770.95</f>
        <v>97104.88</v>
      </c>
      <c r="G8" s="6">
        <f>65146.23+1187.7+30770.95</f>
        <v>97104.88</v>
      </c>
      <c r="H8" s="6">
        <f>65146.23+1187.7+59721.45</f>
        <v>126055.38</v>
      </c>
      <c r="I8" s="6">
        <f>65146.23+1187.7+134257.65</f>
        <v>200591.58000000002</v>
      </c>
      <c r="J8" s="6">
        <f>78646.23+1187.7+173657.65</f>
        <v>253491.58</v>
      </c>
      <c r="K8" s="6"/>
      <c r="L8" s="6"/>
      <c r="M8" s="6"/>
    </row>
    <row r="9" spans="1:14">
      <c r="A9" s="5" t="s">
        <v>53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</row>
    <row r="10" spans="1:14">
      <c r="A10" s="17" t="s">
        <v>54</v>
      </c>
      <c r="B10" s="16">
        <f>SUM(B11)</f>
        <v>0</v>
      </c>
      <c r="C10" s="16">
        <f>SUM(C11)</f>
        <v>0</v>
      </c>
      <c r="D10" s="16">
        <f t="shared" ref="D10:I10" si="6">SUM(D11)</f>
        <v>0</v>
      </c>
      <c r="E10" s="16">
        <f t="shared" si="6"/>
        <v>5100000</v>
      </c>
      <c r="F10" s="16">
        <f t="shared" si="6"/>
        <v>5100000</v>
      </c>
      <c r="G10" s="16">
        <f t="shared" si="6"/>
        <v>5100000</v>
      </c>
      <c r="H10" s="16">
        <f t="shared" si="6"/>
        <v>5100000</v>
      </c>
      <c r="I10" s="16">
        <f t="shared" si="6"/>
        <v>5100000</v>
      </c>
      <c r="J10" s="16">
        <f t="shared" ref="J10:M10" si="7">SUM(J11)</f>
        <v>5100000</v>
      </c>
      <c r="K10" s="16">
        <f t="shared" si="7"/>
        <v>0</v>
      </c>
      <c r="L10" s="16">
        <f t="shared" si="7"/>
        <v>0</v>
      </c>
      <c r="M10" s="16">
        <f t="shared" si="7"/>
        <v>0</v>
      </c>
    </row>
    <row r="11" spans="1:14">
      <c r="A11" s="5" t="s">
        <v>55</v>
      </c>
      <c r="B11" s="6"/>
      <c r="C11" s="6"/>
      <c r="D11" s="6"/>
      <c r="E11" s="6">
        <v>5100000</v>
      </c>
      <c r="F11" s="6">
        <v>5100000</v>
      </c>
      <c r="G11" s="6">
        <v>5100000</v>
      </c>
      <c r="H11" s="6">
        <v>5100000</v>
      </c>
      <c r="I11" s="6">
        <v>5100000</v>
      </c>
      <c r="J11" s="6">
        <v>5100000</v>
      </c>
      <c r="K11" s="6"/>
      <c r="L11" s="6"/>
      <c r="M11" s="6"/>
    </row>
    <row r="12" spans="1:14">
      <c r="A12" s="23" t="s">
        <v>30</v>
      </c>
      <c r="B12" s="16">
        <f>SUM(B13)</f>
        <v>495599.04000000004</v>
      </c>
      <c r="C12" s="16">
        <f>SUM(C13)</f>
        <v>1437627.77</v>
      </c>
      <c r="D12" s="16">
        <f t="shared" ref="D12:H12" si="8">SUM(D13)</f>
        <v>5718692.9200000009</v>
      </c>
      <c r="E12" s="16">
        <f>SUM(E13)</f>
        <v>6711710.6800000006</v>
      </c>
      <c r="F12" s="16">
        <f>SUM(F13)</f>
        <v>8400281.5099999998</v>
      </c>
      <c r="G12" s="16">
        <f>SUM(G13)</f>
        <v>9823201.8399999999</v>
      </c>
      <c r="H12" s="16">
        <f t="shared" si="8"/>
        <v>10661195.290000001</v>
      </c>
      <c r="I12" s="16">
        <f>SUM(I13)</f>
        <v>13412492.49</v>
      </c>
      <c r="J12" s="16">
        <f>SUM(J13)</f>
        <v>18697406.399999999</v>
      </c>
      <c r="K12" s="16">
        <f>SUM(K13)</f>
        <v>0</v>
      </c>
      <c r="L12" s="16">
        <f t="shared" ref="L12:M12" si="9">SUM(L13)</f>
        <v>0</v>
      </c>
      <c r="M12" s="16">
        <f t="shared" si="9"/>
        <v>0</v>
      </c>
      <c r="N12" s="44"/>
    </row>
    <row r="13" spans="1:14">
      <c r="A13" s="34" t="s">
        <v>25</v>
      </c>
      <c r="B13" s="10">
        <f>76518.39+409500+9580.65</f>
        <v>495599.04000000004</v>
      </c>
      <c r="C13" s="10">
        <f>576694.63+12494.85+32100+627797.64+188540.65</f>
        <v>1437627.77</v>
      </c>
      <c r="D13" s="10">
        <f>1338231.79+12494.85+990000+73622.58+1397336.84+1907006.86</f>
        <v>5718692.9200000009</v>
      </c>
      <c r="E13" s="10">
        <f>1959320.09+12494.85+1012380+73622.58+1679956.2+28000+1945936.96</f>
        <v>6711710.6800000006</v>
      </c>
      <c r="F13" s="10">
        <f>2708810.77+38064.85+1012380+100822.58+1649055.5+27974.5+480+2862693.31</f>
        <v>8400281.5099999998</v>
      </c>
      <c r="G13" s="10">
        <f>3453467.25+40674.35+320000+1012380+143329.58+1678656.31+233615.79+60363+2880715.56</f>
        <v>9823201.8399999999</v>
      </c>
      <c r="H13" s="10">
        <f>3946731.2+76734.35+6637729.74</f>
        <v>10661195.290000001</v>
      </c>
      <c r="I13" s="10">
        <f>4882919.16+278399.32+8251174.01</f>
        <v>13412492.49</v>
      </c>
      <c r="J13" s="10">
        <f>6007608.51+600759.68+2400000+9689038.21</f>
        <v>18697406.399999999</v>
      </c>
      <c r="K13" s="10"/>
      <c r="L13" s="10"/>
      <c r="M13" s="10"/>
    </row>
    <row r="14" spans="1:14">
      <c r="A14" s="17" t="s">
        <v>48</v>
      </c>
      <c r="B14" s="16">
        <f>SUM(B15)</f>
        <v>0</v>
      </c>
      <c r="C14" s="16">
        <f t="shared" ref="C14:H14" si="10">SUM(C15)</f>
        <v>0</v>
      </c>
      <c r="D14" s="16">
        <f t="shared" si="10"/>
        <v>0</v>
      </c>
      <c r="E14" s="16">
        <f t="shared" si="10"/>
        <v>0</v>
      </c>
      <c r="F14" s="16">
        <f>SUM(F15)</f>
        <v>0</v>
      </c>
      <c r="G14" s="16">
        <f>SUM(G15)</f>
        <v>0</v>
      </c>
      <c r="H14" s="16">
        <f t="shared" si="10"/>
        <v>0</v>
      </c>
      <c r="I14" s="16">
        <f>SUM(I15)</f>
        <v>2266800</v>
      </c>
      <c r="J14" s="16">
        <f>SUM(J15)</f>
        <v>4826800</v>
      </c>
      <c r="K14" s="16">
        <f>SUM(K15)</f>
        <v>0</v>
      </c>
      <c r="L14" s="16">
        <f t="shared" ref="L14:M14" si="11">SUM(L15)</f>
        <v>0</v>
      </c>
      <c r="M14" s="16">
        <f t="shared" si="11"/>
        <v>0</v>
      </c>
    </row>
    <row r="15" spans="1:14">
      <c r="A15" s="57" t="s">
        <v>56</v>
      </c>
      <c r="B15" s="6"/>
      <c r="C15" s="56"/>
      <c r="D15" s="56"/>
      <c r="E15" s="56"/>
      <c r="F15" s="56"/>
      <c r="G15" s="56"/>
      <c r="H15" s="56"/>
      <c r="I15" s="6">
        <f>457800+1809000</f>
        <v>2266800</v>
      </c>
      <c r="J15" s="6">
        <f>445800+412000+2160000+1809000</f>
        <v>4826800</v>
      </c>
      <c r="K15" s="56"/>
      <c r="L15" s="56"/>
      <c r="M15" s="56"/>
      <c r="N15" s="44"/>
    </row>
    <row r="16" spans="1:14">
      <c r="F16" s="44"/>
      <c r="K16" s="44"/>
      <c r="N16" s="44"/>
    </row>
    <row r="17" spans="5:12">
      <c r="E17" s="81"/>
      <c r="F17" s="39"/>
      <c r="H17" s="81"/>
      <c r="I17" s="79"/>
      <c r="J17" s="151">
        <f>SUM(J18:J28)</f>
        <v>47853197.489999995</v>
      </c>
      <c r="K17" s="44"/>
      <c r="L17" s="44"/>
    </row>
    <row r="18" spans="5:12">
      <c r="E18" s="81"/>
      <c r="F18" s="39"/>
      <c r="H18" s="81"/>
      <c r="I18" s="80"/>
      <c r="J18" s="39">
        <v>3017800</v>
      </c>
    </row>
    <row r="19" spans="5:12">
      <c r="E19" s="39"/>
      <c r="F19" s="39"/>
      <c r="H19" s="81"/>
      <c r="I19" s="79"/>
      <c r="J19" s="39">
        <v>10743301.1</v>
      </c>
    </row>
    <row r="20" spans="5:12">
      <c r="F20" s="39"/>
      <c r="H20" s="81"/>
      <c r="I20" s="80"/>
      <c r="J20" s="39">
        <v>3448836.84</v>
      </c>
    </row>
    <row r="21" spans="5:12">
      <c r="F21" s="39"/>
      <c r="H21" s="81"/>
      <c r="I21" s="80"/>
      <c r="J21" s="39">
        <v>4209000</v>
      </c>
    </row>
    <row r="22" spans="5:12">
      <c r="F22" s="39"/>
      <c r="H22" s="81"/>
      <c r="I22" s="80"/>
      <c r="J22" s="39">
        <v>26434259.550000001</v>
      </c>
    </row>
    <row r="23" spans="5:12">
      <c r="F23" s="39"/>
      <c r="H23" s="81"/>
      <c r="I23" s="80"/>
      <c r="J23" s="39"/>
    </row>
    <row r="24" spans="5:12">
      <c r="F24" s="44"/>
      <c r="H24" s="81"/>
      <c r="I24" s="79"/>
      <c r="J24" s="39"/>
    </row>
    <row r="25" spans="5:12">
      <c r="H25" s="81"/>
      <c r="I25" s="80"/>
      <c r="J25" s="39"/>
    </row>
    <row r="26" spans="5:12">
      <c r="H26" s="81"/>
      <c r="I26" s="80"/>
      <c r="J26" s="39"/>
    </row>
    <row r="27" spans="5:12">
      <c r="H27" s="81"/>
      <c r="I27" s="80"/>
      <c r="J27" s="39"/>
    </row>
    <row r="28" spans="5:12">
      <c r="H28" s="81"/>
      <c r="I28" s="80"/>
      <c r="J28" s="39"/>
    </row>
    <row r="29" spans="5:12">
      <c r="H29" s="81"/>
      <c r="I29" s="80"/>
      <c r="J29" s="39"/>
    </row>
    <row r="30" spans="5:12">
      <c r="H30" s="81"/>
      <c r="I30" s="80"/>
    </row>
    <row r="31" spans="5:12">
      <c r="H31" s="81"/>
      <c r="I31" s="80"/>
    </row>
    <row r="32" spans="5:12">
      <c r="H32" s="81"/>
      <c r="I32" s="80"/>
    </row>
    <row r="33" spans="8:9">
      <c r="H33" s="81"/>
      <c r="I33" s="80"/>
    </row>
    <row r="34" spans="8:9">
      <c r="H34" s="81"/>
      <c r="I34" s="80"/>
    </row>
    <row r="35" spans="8:9">
      <c r="H35" s="81"/>
      <c r="I35" s="80"/>
    </row>
    <row r="36" spans="8:9">
      <c r="H36" s="81"/>
      <c r="I36" s="80"/>
    </row>
    <row r="37" spans="8:9">
      <c r="H37" s="81"/>
      <c r="I37" s="80"/>
    </row>
    <row r="38" spans="8:9">
      <c r="H38" s="81"/>
      <c r="I38" s="80"/>
    </row>
    <row r="39" spans="8:9">
      <c r="H39" s="81"/>
      <c r="I39" s="80"/>
    </row>
    <row r="40" spans="8:9">
      <c r="H40" s="81"/>
      <c r="I40" s="80"/>
    </row>
    <row r="41" spans="8:9">
      <c r="H41" s="81"/>
      <c r="I41" s="80"/>
    </row>
    <row r="42" spans="8:9">
      <c r="H42" s="81"/>
      <c r="I42" s="80"/>
    </row>
  </sheetData>
  <pageMargins left="0.7" right="0.7" top="0.75" bottom="0.75" header="0.3" footer="0.3"/>
  <pageSetup paperSize="9" scale="64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BJ79"/>
  <sheetViews>
    <sheetView zoomScale="81" zoomScaleNormal="81" zoomScaleSheetLayoutView="85" workbookViewId="0">
      <selection activeCell="P5" sqref="P5:P12"/>
    </sheetView>
  </sheetViews>
  <sheetFormatPr defaultRowHeight="23.25"/>
  <cols>
    <col min="1" max="1" width="23.75" style="1" bestFit="1" customWidth="1"/>
    <col min="2" max="2" width="16.125" style="1" hidden="1" customWidth="1"/>
    <col min="3" max="3" width="13.875" style="1" hidden="1" customWidth="1"/>
    <col min="4" max="4" width="15" style="1" hidden="1" customWidth="1"/>
    <col min="5" max="5" width="13.875" style="1" hidden="1" customWidth="1"/>
    <col min="6" max="7" width="14.125" style="1" customWidth="1"/>
    <col min="8" max="8" width="13.875" style="39" customWidth="1"/>
    <col min="9" max="9" width="16.125" style="1" customWidth="1"/>
    <col min="10" max="11" width="13.875" style="1" customWidth="1"/>
    <col min="12" max="12" width="14.125" style="1" customWidth="1"/>
    <col min="13" max="14" width="13.875" style="1" bestFit="1" customWidth="1"/>
    <col min="15" max="15" width="9" style="1"/>
    <col min="16" max="16" width="13.875" style="1" bestFit="1" customWidth="1"/>
    <col min="17" max="16384" width="9" style="1"/>
  </cols>
  <sheetData>
    <row r="1" spans="1:62">
      <c r="A1" s="24" t="s">
        <v>28</v>
      </c>
      <c r="B1" s="41" t="s">
        <v>57</v>
      </c>
      <c r="C1" s="40" t="s">
        <v>58</v>
      </c>
      <c r="D1" s="42" t="s">
        <v>59</v>
      </c>
      <c r="E1" s="40" t="s">
        <v>60</v>
      </c>
      <c r="F1" s="40" t="s">
        <v>61</v>
      </c>
      <c r="G1" s="40" t="s">
        <v>62</v>
      </c>
      <c r="H1" s="40" t="s">
        <v>63</v>
      </c>
      <c r="I1" s="40" t="s">
        <v>64</v>
      </c>
      <c r="J1" s="40" t="s">
        <v>65</v>
      </c>
      <c r="K1" s="40" t="s">
        <v>66</v>
      </c>
      <c r="L1" s="40" t="s">
        <v>67</v>
      </c>
      <c r="M1" s="40" t="s">
        <v>68</v>
      </c>
      <c r="N1" s="93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  <c r="AA1" s="80"/>
      <c r="AB1" s="80"/>
      <c r="AC1" s="80"/>
      <c r="AD1" s="80"/>
      <c r="AE1" s="80"/>
      <c r="AF1" s="80"/>
      <c r="AG1" s="80"/>
      <c r="AH1" s="80"/>
      <c r="AI1" s="80"/>
      <c r="AJ1" s="80"/>
      <c r="AK1" s="80"/>
      <c r="AL1" s="80"/>
      <c r="AM1" s="80"/>
      <c r="AN1" s="80"/>
      <c r="AO1" s="80"/>
      <c r="AP1" s="80"/>
      <c r="AQ1" s="80"/>
      <c r="AR1" s="80"/>
      <c r="AS1" s="80"/>
      <c r="AT1" s="80"/>
      <c r="AU1" s="80"/>
      <c r="AV1" s="80"/>
      <c r="AW1" s="80"/>
      <c r="AX1" s="80"/>
      <c r="AY1" s="80"/>
      <c r="AZ1" s="80"/>
      <c r="BA1" s="80"/>
      <c r="BB1" s="80"/>
      <c r="BC1" s="80"/>
      <c r="BD1" s="80"/>
      <c r="BE1" s="80"/>
      <c r="BF1" s="80"/>
      <c r="BG1" s="80"/>
      <c r="BH1" s="80"/>
      <c r="BI1" s="80"/>
      <c r="BJ1" s="80"/>
    </row>
    <row r="2" spans="1:62">
      <c r="A2" s="8" t="s">
        <v>27</v>
      </c>
      <c r="B2" s="55">
        <f>+B3+B6+B11+B13+B15</f>
        <v>10187764.149999999</v>
      </c>
      <c r="C2" s="55">
        <f>+C3+C6+C11+C13+C15</f>
        <v>24939304.859999999</v>
      </c>
      <c r="D2" s="55">
        <f>+D3+D6+D11+D13+D15</f>
        <v>45493398.649999999</v>
      </c>
      <c r="E2" s="55">
        <f>+E3+E6+E11+E13+E15</f>
        <v>63775044.790000007</v>
      </c>
      <c r="F2" s="55">
        <f t="shared" ref="F2:M2" si="0">+F3+F6+F11+F13+F15</f>
        <v>82140995.539999992</v>
      </c>
      <c r="G2" s="55">
        <f>+G3+G6+G11+G13+G15</f>
        <v>100382155.59999999</v>
      </c>
      <c r="H2" s="55">
        <f t="shared" si="0"/>
        <v>114325802.25999999</v>
      </c>
      <c r="I2" s="55">
        <f>+I3+I6+I11+I13+I15</f>
        <v>138663847.75999999</v>
      </c>
      <c r="J2" s="55">
        <f>+J3+J6+J11+J13+J15</f>
        <v>167708951.82999998</v>
      </c>
      <c r="K2" s="55">
        <f t="shared" si="0"/>
        <v>0</v>
      </c>
      <c r="L2" s="55">
        <f t="shared" si="0"/>
        <v>0</v>
      </c>
      <c r="M2" s="55">
        <f t="shared" si="0"/>
        <v>0</v>
      </c>
      <c r="N2" s="93">
        <v>298745400</v>
      </c>
      <c r="O2" s="79">
        <f>+J2/N2*100</f>
        <v>56.137752022290542</v>
      </c>
      <c r="P2" s="80"/>
      <c r="Q2" s="80"/>
      <c r="R2" s="80"/>
      <c r="S2" s="80"/>
      <c r="T2" s="80"/>
      <c r="U2" s="80"/>
      <c r="V2" s="80"/>
      <c r="W2" s="80"/>
      <c r="X2" s="80"/>
      <c r="Y2" s="80"/>
      <c r="Z2" s="80"/>
      <c r="AA2" s="80"/>
      <c r="AB2" s="80"/>
      <c r="AC2" s="80"/>
      <c r="AD2" s="80"/>
      <c r="AE2" s="80"/>
      <c r="AF2" s="80"/>
      <c r="AG2" s="80"/>
      <c r="AH2" s="80"/>
      <c r="AI2" s="80"/>
      <c r="AJ2" s="80"/>
      <c r="AK2" s="80"/>
      <c r="AL2" s="80"/>
      <c r="AM2" s="80"/>
      <c r="AN2" s="80"/>
      <c r="AO2" s="80"/>
      <c r="AP2" s="80"/>
      <c r="AQ2" s="80"/>
      <c r="AR2" s="80"/>
      <c r="AS2" s="80"/>
      <c r="AT2" s="80"/>
      <c r="AU2" s="80"/>
      <c r="AV2" s="80"/>
      <c r="AW2" s="80"/>
      <c r="AX2" s="80"/>
      <c r="AY2" s="80"/>
      <c r="AZ2" s="80"/>
      <c r="BA2" s="80"/>
      <c r="BB2" s="80"/>
      <c r="BC2" s="80"/>
      <c r="BD2" s="80"/>
      <c r="BE2" s="80"/>
      <c r="BF2" s="80"/>
      <c r="BG2" s="80"/>
      <c r="BH2" s="80"/>
      <c r="BI2" s="80"/>
      <c r="BJ2" s="80"/>
    </row>
    <row r="3" spans="1:62" s="48" customFormat="1">
      <c r="A3" s="15" t="s">
        <v>15</v>
      </c>
      <c r="B3" s="36">
        <f>SUM(B4:B5)</f>
        <v>6555548.5500000007</v>
      </c>
      <c r="C3" s="36">
        <f t="shared" ref="C3:M3" si="1">SUM(C4:C5)</f>
        <v>13048762.58</v>
      </c>
      <c r="D3" s="36">
        <f t="shared" si="1"/>
        <v>20025162.52</v>
      </c>
      <c r="E3" s="36">
        <f>SUM(E4:E5)</f>
        <v>26498460.960000001</v>
      </c>
      <c r="F3" s="36">
        <f>SUM(F4:F5)</f>
        <v>33016823.640000001</v>
      </c>
      <c r="G3" s="36">
        <f>SUM(G4:G5)</f>
        <v>39543853.659999996</v>
      </c>
      <c r="H3" s="36">
        <f t="shared" si="1"/>
        <v>46107175.099999994</v>
      </c>
      <c r="I3" s="36">
        <f t="shared" si="1"/>
        <v>52705540.099999994</v>
      </c>
      <c r="J3" s="36">
        <f>SUM(J4:J5)</f>
        <v>59688180.099999994</v>
      </c>
      <c r="K3" s="36">
        <f t="shared" si="1"/>
        <v>0</v>
      </c>
      <c r="L3" s="36">
        <f t="shared" si="1"/>
        <v>0</v>
      </c>
      <c r="M3" s="36">
        <f t="shared" si="1"/>
        <v>0</v>
      </c>
      <c r="N3" s="92"/>
      <c r="O3" s="94"/>
      <c r="P3" s="94"/>
      <c r="Q3" s="94"/>
      <c r="R3" s="94"/>
      <c r="S3" s="94"/>
      <c r="T3" s="94"/>
      <c r="U3" s="94"/>
      <c r="V3" s="94"/>
      <c r="W3" s="94"/>
      <c r="X3" s="94"/>
      <c r="Y3" s="94"/>
      <c r="Z3" s="94"/>
      <c r="AA3" s="94"/>
      <c r="AB3" s="94"/>
      <c r="AC3" s="94"/>
      <c r="AD3" s="94"/>
      <c r="AE3" s="94"/>
      <c r="AF3" s="94"/>
      <c r="AG3" s="94"/>
      <c r="AH3" s="94"/>
      <c r="AI3" s="94"/>
      <c r="AJ3" s="94"/>
      <c r="AK3" s="94"/>
      <c r="AL3" s="94"/>
      <c r="AM3" s="94"/>
      <c r="AN3" s="94"/>
      <c r="AO3" s="94"/>
      <c r="AP3" s="94"/>
      <c r="AQ3" s="94"/>
      <c r="AR3" s="94"/>
      <c r="AS3" s="94"/>
      <c r="AT3" s="94"/>
      <c r="AU3" s="94"/>
      <c r="AV3" s="94"/>
      <c r="AW3" s="94"/>
      <c r="AX3" s="94"/>
      <c r="AY3" s="94"/>
      <c r="AZ3" s="94"/>
      <c r="BA3" s="94"/>
      <c r="BB3" s="94"/>
      <c r="BC3" s="94"/>
      <c r="BD3" s="94"/>
      <c r="BE3" s="94"/>
      <c r="BF3" s="94"/>
      <c r="BG3" s="94"/>
      <c r="BH3" s="94"/>
      <c r="BI3" s="94"/>
      <c r="BJ3" s="94"/>
    </row>
    <row r="4" spans="1:62" s="18" customFormat="1">
      <c r="A4" s="13" t="s">
        <v>16</v>
      </c>
      <c r="B4" s="35">
        <f>+ค่าใช้จ่ายบุคคลากรภาครัฐ!B5</f>
        <v>5026009.3600000003</v>
      </c>
      <c r="C4" s="35">
        <f>+ค่าใช้จ่ายบุคคลากรภาครัฐ!C5</f>
        <v>9984458.3900000006</v>
      </c>
      <c r="D4" s="35">
        <f>+ค่าใช้จ่ายบุคคลากรภาครัฐ!D5</f>
        <v>15250750</v>
      </c>
      <c r="E4" s="35">
        <f>+ค่าใช้จ่ายบุคคลากรภาครัฐ!E5</f>
        <v>20133733.440000001</v>
      </c>
      <c r="F4" s="35">
        <f>+ค่าใช้จ่ายบุคคลากรภาครัฐ!F5</f>
        <v>25116773.620000001</v>
      </c>
      <c r="G4" s="35">
        <f>+ค่าใช้จ่ายบุคคลากรภาครัฐ!G5</f>
        <v>30036815.789999999</v>
      </c>
      <c r="H4" s="35">
        <f>+ค่าใช้จ่ายบุคคลากรภาครัฐ!H5</f>
        <v>34994392.229999997</v>
      </c>
      <c r="I4" s="35">
        <f>+ค่าใช้จ่ายบุคคลากรภาครัฐ!I5</f>
        <v>39987012.229999997</v>
      </c>
      <c r="J4" s="35">
        <f>+ค่าใช้จ่ายบุคคลากรภาครัฐ!J5</f>
        <v>45344857.229999997</v>
      </c>
      <c r="K4" s="35">
        <f>+ค่าใช้จ่ายบุคคลากรภาครัฐ!K5</f>
        <v>0</v>
      </c>
      <c r="L4" s="35">
        <f>+ค่าใช้จ่ายบุคคลากรภาครัฐ!L5</f>
        <v>0</v>
      </c>
      <c r="M4" s="35">
        <f>+ค่าใช้จ่ายบุคคลากรภาครัฐ!M5</f>
        <v>0</v>
      </c>
      <c r="N4" s="95">
        <f>+ภาพรวมโครงการ!J4+ภาพรวมผลผลิตที่3!J3+ภาพรวมผลผลิตที่2!J3+ภาพรวมผลผลิตที่1!J3+ค่าใช้จ่ายบุคคลากรภาครัฐ!J3</f>
        <v>167708951.83000001</v>
      </c>
      <c r="O4" s="80"/>
      <c r="P4" s="80"/>
      <c r="Q4" s="80"/>
      <c r="R4" s="80"/>
      <c r="S4" s="80"/>
      <c r="T4" s="80"/>
      <c r="U4" s="80"/>
      <c r="V4" s="80"/>
      <c r="W4" s="80"/>
      <c r="X4" s="80"/>
      <c r="Y4" s="80"/>
      <c r="Z4" s="80"/>
      <c r="AA4" s="80"/>
      <c r="AB4" s="80"/>
      <c r="AC4" s="80"/>
      <c r="AD4" s="80"/>
      <c r="AE4" s="80"/>
      <c r="AF4" s="80"/>
      <c r="AG4" s="80"/>
      <c r="AH4" s="80"/>
      <c r="AI4" s="80"/>
      <c r="AJ4" s="80"/>
      <c r="AK4" s="80"/>
      <c r="AL4" s="80"/>
      <c r="AM4" s="80"/>
      <c r="AN4" s="80"/>
      <c r="AO4" s="80"/>
      <c r="AP4" s="80"/>
      <c r="AQ4" s="80"/>
      <c r="AR4" s="80"/>
      <c r="AS4" s="80"/>
      <c r="AT4" s="80"/>
      <c r="AU4" s="80"/>
      <c r="AV4" s="80"/>
      <c r="AW4" s="80"/>
      <c r="AX4" s="80"/>
      <c r="AY4" s="80"/>
      <c r="AZ4" s="80"/>
      <c r="BA4" s="80"/>
      <c r="BB4" s="80"/>
      <c r="BC4" s="80"/>
      <c r="BD4" s="80"/>
      <c r="BE4" s="80"/>
      <c r="BF4" s="80"/>
      <c r="BG4" s="80"/>
      <c r="BH4" s="80"/>
      <c r="BI4" s="80"/>
      <c r="BJ4" s="80"/>
    </row>
    <row r="5" spans="1:62">
      <c r="A5" s="12" t="s">
        <v>22</v>
      </c>
      <c r="B5" s="35">
        <f>+ค่าใช้จ่ายบุคคลากรภาครัฐ!B6</f>
        <v>1529539.19</v>
      </c>
      <c r="C5" s="35">
        <f>+ค่าใช้จ่ายบุคคลากรภาครัฐ!C6</f>
        <v>3064304.19</v>
      </c>
      <c r="D5" s="35">
        <f>+ค่าใช้จ่ายบุคคลากรภาครัฐ!D6</f>
        <v>4774412.5199999996</v>
      </c>
      <c r="E5" s="35">
        <f>+ค่าใช้จ่ายบุคคลากรภาครัฐ!E6</f>
        <v>6364727.5199999996</v>
      </c>
      <c r="F5" s="35">
        <f>+ค่าใช้จ่ายบุคคลากรภาครัฐ!F6</f>
        <v>7900050.0199999996</v>
      </c>
      <c r="G5" s="35">
        <f>+ค่าใช้จ่ายบุคคลากรภาครัฐ!G6</f>
        <v>9507037.8699999992</v>
      </c>
      <c r="H5" s="35">
        <f>+ค่าใช้จ่ายบุคคลากรภาครัฐ!H6</f>
        <v>11112782.869999999</v>
      </c>
      <c r="I5" s="35">
        <f>+ค่าใช้จ่ายบุคคลากรภาครัฐ!I6</f>
        <v>12718527.869999999</v>
      </c>
      <c r="J5" s="35">
        <f>+ค่าใช้จ่ายบุคคลากรภาครัฐ!J6</f>
        <v>14343322.869999999</v>
      </c>
      <c r="K5" s="35">
        <f>+ค่าใช้จ่ายบุคคลากรภาครัฐ!K6</f>
        <v>0</v>
      </c>
      <c r="L5" s="35">
        <f>+ค่าใช้จ่ายบุคคลากรภาครัฐ!L6</f>
        <v>0</v>
      </c>
      <c r="M5" s="35">
        <f>+ค่าใช้จ่ายบุคคลากรภาครัฐ!M6</f>
        <v>0</v>
      </c>
      <c r="N5" s="95"/>
      <c r="O5" s="80"/>
      <c r="P5" s="79"/>
      <c r="Q5" s="80"/>
      <c r="R5" s="80"/>
      <c r="S5" s="80"/>
      <c r="T5" s="80"/>
      <c r="U5" s="80"/>
      <c r="V5" s="80"/>
      <c r="W5" s="80"/>
      <c r="X5" s="80"/>
      <c r="Y5" s="80"/>
      <c r="Z5" s="80"/>
      <c r="AA5" s="80"/>
      <c r="AB5" s="80"/>
      <c r="AC5" s="80"/>
      <c r="AD5" s="80"/>
      <c r="AE5" s="80"/>
      <c r="AF5" s="80"/>
      <c r="AG5" s="80"/>
      <c r="AH5" s="80"/>
      <c r="AI5" s="80"/>
      <c r="AJ5" s="80"/>
      <c r="AK5" s="80"/>
      <c r="AL5" s="80"/>
      <c r="AM5" s="80"/>
      <c r="AN5" s="80"/>
      <c r="AO5" s="80"/>
      <c r="AP5" s="80"/>
      <c r="AQ5" s="80"/>
      <c r="AR5" s="80"/>
      <c r="AS5" s="80"/>
      <c r="AT5" s="80"/>
      <c r="AU5" s="80"/>
      <c r="AV5" s="80"/>
      <c r="AW5" s="80"/>
      <c r="AX5" s="80"/>
      <c r="AY5" s="80"/>
      <c r="AZ5" s="80"/>
      <c r="BA5" s="80"/>
      <c r="BB5" s="80"/>
      <c r="BC5" s="80"/>
      <c r="BD5" s="80"/>
      <c r="BE5" s="80"/>
      <c r="BF5" s="80"/>
      <c r="BG5" s="80"/>
      <c r="BH5" s="80"/>
      <c r="BI5" s="80"/>
      <c r="BJ5" s="80"/>
    </row>
    <row r="6" spans="1:62" s="48" customFormat="1">
      <c r="A6" s="15" t="s">
        <v>17</v>
      </c>
      <c r="B6" s="36">
        <f>SUM(B7:B10)</f>
        <v>2222786.3099999996</v>
      </c>
      <c r="C6" s="36">
        <f t="shared" ref="C6:M6" si="2">SUM(C7:C10)</f>
        <v>7112999.4799999995</v>
      </c>
      <c r="D6" s="36">
        <f>SUM(D7:D10)</f>
        <v>13850818.459999999</v>
      </c>
      <c r="E6" s="36">
        <f>SUM(E7:E10)</f>
        <v>18414075.25</v>
      </c>
      <c r="F6" s="36">
        <f>SUM(F7:F10)</f>
        <v>25651439.060000002</v>
      </c>
      <c r="G6" s="36">
        <f>SUM(G7:G10)</f>
        <v>31737463.25</v>
      </c>
      <c r="H6" s="36">
        <f t="shared" si="2"/>
        <v>35738763.329999998</v>
      </c>
      <c r="I6" s="36">
        <f t="shared" si="2"/>
        <v>45170934.129999995</v>
      </c>
      <c r="J6" s="36">
        <f>SUM(J7:J10)</f>
        <v>54893278.5</v>
      </c>
      <c r="K6" s="36">
        <f t="shared" si="2"/>
        <v>0</v>
      </c>
      <c r="L6" s="36">
        <f t="shared" si="2"/>
        <v>0</v>
      </c>
      <c r="M6" s="36">
        <f t="shared" si="2"/>
        <v>0</v>
      </c>
      <c r="N6" s="92"/>
      <c r="O6" s="94"/>
      <c r="P6" s="94"/>
      <c r="Q6" s="94"/>
      <c r="R6" s="94"/>
      <c r="S6" s="94"/>
      <c r="T6" s="94"/>
      <c r="U6" s="94"/>
      <c r="V6" s="94"/>
      <c r="W6" s="94"/>
      <c r="X6" s="94"/>
      <c r="Y6" s="94"/>
      <c r="Z6" s="94"/>
      <c r="AA6" s="94"/>
      <c r="AB6" s="94"/>
      <c r="AC6" s="94"/>
      <c r="AD6" s="94"/>
      <c r="AE6" s="94"/>
      <c r="AF6" s="94"/>
      <c r="AG6" s="94"/>
      <c r="AH6" s="94"/>
      <c r="AI6" s="94"/>
      <c r="AJ6" s="94"/>
      <c r="AK6" s="94"/>
      <c r="AL6" s="94"/>
      <c r="AM6" s="94"/>
      <c r="AN6" s="94"/>
      <c r="AO6" s="94"/>
      <c r="AP6" s="94"/>
      <c r="AQ6" s="94"/>
      <c r="AR6" s="94"/>
      <c r="AS6" s="94"/>
      <c r="AT6" s="94"/>
      <c r="AU6" s="94"/>
      <c r="AV6" s="94"/>
      <c r="AW6" s="94"/>
      <c r="AX6" s="94"/>
      <c r="AY6" s="94"/>
      <c r="AZ6" s="94"/>
      <c r="BA6" s="94"/>
      <c r="BB6" s="94"/>
      <c r="BC6" s="94"/>
      <c r="BD6" s="94"/>
      <c r="BE6" s="94"/>
      <c r="BF6" s="94"/>
      <c r="BG6" s="94"/>
      <c r="BH6" s="94"/>
      <c r="BI6" s="94"/>
      <c r="BJ6" s="94"/>
    </row>
    <row r="7" spans="1:62" s="18" customFormat="1">
      <c r="A7" s="11" t="s">
        <v>21</v>
      </c>
      <c r="B7" s="35">
        <f>+ค่าใช้จ่ายบุคคลากรภาครัฐ!B8+ภาพรวมผลผลิตที่1!B8+ภาพรวมผลผลิตที่2!B8+ภาพรวมผลผลิตที่3!B8+ภาพรวมโครงการ!B6</f>
        <v>416714.4</v>
      </c>
      <c r="C7" s="35">
        <f>+ค่าใช้จ่ายบุคคลากรภาครัฐ!C8+ภาพรวมผลผลิตที่1!C8+ภาพรวมผลผลิตที่2!C8+ภาพรวมผลผลิตที่3!C8+ภาพรวมโครงการ!C6</f>
        <v>1267133.55</v>
      </c>
      <c r="D7" s="35">
        <f>+ค่าใช้จ่ายบุคคลากรภาครัฐ!D8+ภาพรวมผลผลิตที่1!D8+ภาพรวมผลผลิตที่2!D8+ภาพรวมผลผลิตที่3!D8+ภาพรวมโครงการ!D6</f>
        <v>2324861.77</v>
      </c>
      <c r="E7" s="35">
        <f>+ค่าใช้จ่ายบุคคลากรภาครัฐ!E8+ภาพรวมผลผลิตที่1!E8+ภาพรวมผลผลิตที่2!E8+ภาพรวมผลผลิตที่3!E8+ภาพรวมโครงการ!E6</f>
        <v>2353601.77</v>
      </c>
      <c r="F7" s="35">
        <f>+ค่าใช้จ่ายบุคคลากรภาครัฐ!F8+ภาพรวมผลผลิตที่1!F8+ภาพรวมผลผลิตที่2!F8+ภาพรวมผลผลิตที่3!F8+ภาพรวมโครงการ!F6</f>
        <v>3180856.67</v>
      </c>
      <c r="G7" s="35">
        <f>+ค่าใช้จ่ายบุคคลากรภาครัฐ!G8+ภาพรวมผลผลิตที่1!G8+ภาพรวมผลผลิตที่2!G8+ภาพรวมผลผลิตที่3!G8+ภาพรวมโครงการ!G6</f>
        <v>3816476.57</v>
      </c>
      <c r="H7" s="35">
        <f>+ค่าใช้จ่ายบุคคลากรภาครัฐ!H8+ภาพรวมผลผลิตที่1!H8+ภาพรวมผลผลิตที่2!H8+ภาพรวมผลผลิตที่3!H8+ภาพรวมโครงการ!H6</f>
        <v>4321836.57</v>
      </c>
      <c r="I7" s="35">
        <f>+ค่าใช้จ่ายบุคคลากรภาครัฐ!I8+ภาพรวมผลผลิตที่1!I8+ภาพรวมผลผลิตที่2!I8+ภาพรวมผลผลิตที่3!I8+ภาพรวมโครงการ!I6</f>
        <v>4990741.47</v>
      </c>
      <c r="J7" s="35">
        <f>+ค่าใช้จ่ายบุคคลากรภาครัฐ!J8+ภาพรวมผลผลิตที่1!J8+ภาพรวมผลผลิตที่2!J8+ภาพรวมผลผลิตที่3!J8+ภาพรวมโครงการ!J6</f>
        <v>5694690.0700000003</v>
      </c>
      <c r="K7" s="35">
        <f>+ค่าใช้จ่ายบุคคลากรภาครัฐ!K8+ภาพรวมผลผลิตที่1!K8+ภาพรวมผลผลิตที่2!K8+ภาพรวมผลผลิตที่3!K8+ภาพรวมโครงการ!K6</f>
        <v>0</v>
      </c>
      <c r="L7" s="35">
        <f>+ค่าใช้จ่ายบุคคลากรภาครัฐ!L8+ภาพรวมผลผลิตที่1!L8+ภาพรวมผลผลิตที่2!L8+ภาพรวมผลผลิตที่3!L8+ภาพรวมโครงการ!L6</f>
        <v>0</v>
      </c>
      <c r="M7" s="35">
        <f>+ค่าใช้จ่ายบุคคลากรภาครัฐ!M8+ภาพรวมผลผลิตที่1!M8+ภาพรวมผลผลิตที่2!M8+ภาพรวมผลผลิตที่3!M8+ภาพรวมโครงการ!M6</f>
        <v>0</v>
      </c>
      <c r="N7" s="95"/>
      <c r="O7" s="80"/>
      <c r="P7" s="80"/>
      <c r="Q7" s="80"/>
      <c r="R7" s="80"/>
      <c r="S7" s="80"/>
      <c r="T7" s="80"/>
      <c r="U7" s="80"/>
      <c r="V7" s="80"/>
      <c r="W7" s="80"/>
      <c r="X7" s="80"/>
      <c r="Y7" s="80"/>
      <c r="Z7" s="80"/>
      <c r="AA7" s="80"/>
      <c r="AB7" s="80"/>
      <c r="AC7" s="80"/>
      <c r="AD7" s="80"/>
      <c r="AE7" s="80"/>
      <c r="AF7" s="80"/>
      <c r="AG7" s="80"/>
      <c r="AH7" s="80"/>
      <c r="AI7" s="80"/>
      <c r="AJ7" s="80"/>
      <c r="AK7" s="80"/>
      <c r="AL7" s="80"/>
      <c r="AM7" s="80"/>
      <c r="AN7" s="80"/>
      <c r="AO7" s="80"/>
      <c r="AP7" s="80"/>
      <c r="AQ7" s="80"/>
      <c r="AR7" s="80"/>
      <c r="AS7" s="80"/>
      <c r="AT7" s="80"/>
      <c r="AU7" s="80"/>
      <c r="AV7" s="80"/>
      <c r="AW7" s="80"/>
      <c r="AX7" s="80"/>
      <c r="AY7" s="80"/>
      <c r="AZ7" s="80"/>
      <c r="BA7" s="80"/>
      <c r="BB7" s="80"/>
      <c r="BC7" s="80"/>
      <c r="BD7" s="80"/>
      <c r="BE7" s="80"/>
      <c r="BF7" s="80"/>
      <c r="BG7" s="80"/>
      <c r="BH7" s="80"/>
      <c r="BI7" s="80"/>
      <c r="BJ7" s="80"/>
    </row>
    <row r="8" spans="1:62">
      <c r="A8" s="11" t="s">
        <v>18</v>
      </c>
      <c r="B8" s="35">
        <f>+ค่าใช้จ่ายบุคคลากรภาครัฐ!B9+ภาพรวมผลผลิตที่1!B9+ภาพรวมผลผลิตที่2!B9+ภาพรวมผลผลิตที่3!B9+ภาพรวมโครงการ!B7</f>
        <v>1262211.8799999999</v>
      </c>
      <c r="C8" s="35">
        <f>+ค่าใช้จ่ายบุคคลากรภาครัฐ!C9+ภาพรวมผลผลิตที่1!C9+ภาพรวมผลผลิตที่2!C9+ภาพรวมผลผลิตที่3!C9+ภาพรวมโครงการ!C7</f>
        <v>4667974.0299999993</v>
      </c>
      <c r="D8" s="35">
        <f>+ค่าใช้จ่ายบุคคลากรภาครัฐ!D9+ภาพรวมผลผลิตที่1!D9+ภาพรวมผลผลิตที่2!D9+ภาพรวมผลผลิตที่3!D9+ภาพรวมโครงการ!D7</f>
        <v>8989387.8200000003</v>
      </c>
      <c r="E8" s="35">
        <f>+ค่าใช้จ่ายบุคคลากรภาครัฐ!E9+ภาพรวมผลผลิตที่1!E9+ภาพรวมผลผลิตที่2!E9+ภาพรวมผลผลิตที่3!E9+ภาพรวมโครงการ!E7</f>
        <v>12834072.309999999</v>
      </c>
      <c r="F8" s="35">
        <f>+ค่าใช้จ่ายบุคคลากรภาครัฐ!F9+ภาพรวมผลผลิตที่1!F9+ภาพรวมผลผลิตที่2!F9+ภาพรวมผลผลิตที่3!F9+ภาพรวมโครงการ!F7</f>
        <v>18366351.140000001</v>
      </c>
      <c r="G8" s="35">
        <f>+ค่าใช้จ่ายบุคคลากรภาครัฐ!G9+ภาพรวมผลผลิตที่1!G9+ภาพรวมผลผลิตที่2!G9+ภาพรวมผลผลิตที่3!G9+ภาพรวมโครงการ!G7</f>
        <v>22807075.140000001</v>
      </c>
      <c r="H8" s="35">
        <f>+ค่าใช้จ่ายบุคคลากรภาครัฐ!H9+ภาพรวมผลผลิตที่1!H9+ภาพรวมผลผลิตที่2!H9+ภาพรวมผลผลิตที่3!H9+ภาพรวมโครงการ!H7</f>
        <v>25580518.890000001</v>
      </c>
      <c r="I8" s="35">
        <f>+ค่าใช้จ่ายบุคคลากรภาครัฐ!I9+ภาพรวมผลผลิตที่1!I9+ภาพรวมผลผลิตที่2!I9+ภาพรวมผลผลิตที่3!I9+ภาพรวมโครงการ!I7</f>
        <v>33099014.350000001</v>
      </c>
      <c r="J8" s="35">
        <f>+ค่าใช้จ่ายบุคคลากรภาครัฐ!J9+ภาพรวมผลผลิตที่1!J9+ภาพรวมผลผลิตที่2!J9+ภาพรวมผลผลิตที่3!J9+ภาพรวมโครงการ!J7</f>
        <v>41282689.910000004</v>
      </c>
      <c r="K8" s="35">
        <f>+ค่าใช้จ่ายบุคคลากรภาครัฐ!K9+ภาพรวมผลผลิตที่1!K9+ภาพรวมผลผลิตที่2!K9+ภาพรวมผลผลิตที่3!K9+ภาพรวมโครงการ!K7</f>
        <v>0</v>
      </c>
      <c r="L8" s="35">
        <f>+ค่าใช้จ่ายบุคคลากรภาครัฐ!L9+ภาพรวมผลผลิตที่1!L9+ภาพรวมผลผลิตที่2!L9+ภาพรวมผลผลิตที่3!L9+ภาพรวมโครงการ!L7</f>
        <v>0</v>
      </c>
      <c r="M8" s="35">
        <f>+ค่าใช้จ่ายบุคคลากรภาครัฐ!M9+ภาพรวมผลผลิตที่1!M9+ภาพรวมผลผลิตที่2!M9+ภาพรวมผลผลิตที่3!M9+ภาพรวมโครงการ!M7</f>
        <v>0</v>
      </c>
      <c r="N8" s="95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80"/>
      <c r="AD8" s="80"/>
      <c r="AE8" s="80"/>
      <c r="AF8" s="80"/>
      <c r="AG8" s="80"/>
      <c r="AH8" s="80"/>
      <c r="AI8" s="80"/>
      <c r="AJ8" s="80"/>
      <c r="AK8" s="80"/>
      <c r="AL8" s="80"/>
      <c r="AM8" s="80"/>
      <c r="AN8" s="80"/>
      <c r="AO8" s="80"/>
      <c r="AP8" s="80"/>
      <c r="AQ8" s="80"/>
      <c r="AR8" s="80"/>
      <c r="AS8" s="80"/>
      <c r="AT8" s="80"/>
      <c r="AU8" s="80"/>
      <c r="AV8" s="80"/>
      <c r="AW8" s="80"/>
      <c r="AX8" s="80"/>
      <c r="AY8" s="80"/>
      <c r="AZ8" s="80"/>
      <c r="BA8" s="80"/>
      <c r="BB8" s="80"/>
      <c r="BC8" s="80"/>
      <c r="BD8" s="80"/>
      <c r="BE8" s="80"/>
      <c r="BF8" s="80"/>
      <c r="BG8" s="80"/>
      <c r="BH8" s="80"/>
      <c r="BI8" s="80"/>
      <c r="BJ8" s="80"/>
    </row>
    <row r="9" spans="1:62">
      <c r="A9" s="11" t="s">
        <v>19</v>
      </c>
      <c r="B9" s="35">
        <f>+ค่าใช้จ่ายบุคคลากรภาครัฐ!B10+ภาพรวมผลผลิตที่1!B10+ภาพรวมผลผลิตที่2!B10+ภาพรวมผลผลิตที่3!B10+ภาพรวมโครงการ!B8</f>
        <v>197646.3</v>
      </c>
      <c r="C9" s="35">
        <f>+ค่าใช้จ่ายบุคคลากรภาครัฐ!C10+ภาพรวมผลผลิตที่1!C10+ภาพรวมผลผลิตที่2!C10+ภาพรวมผลผลิตที่3!C10+ภาพรวมโครงการ!C8</f>
        <v>462359.53</v>
      </c>
      <c r="D9" s="35">
        <f>+ค่าใช้จ่ายบุคคลากรภาครัฐ!D10+ภาพรวมผลผลิตที่1!D10+ภาพรวมผลผลิตที่2!D10+ภาพรวมผลผลิตที่3!D10+ภาพรวมโครงการ!D8</f>
        <v>1157110.6900000002</v>
      </c>
      <c r="E9" s="35">
        <f>+ค่าใช้จ่ายบุคคลากรภาครัฐ!E10+ภาพรวมผลผลิตที่1!E10+ภาพรวมผลผลิตที่2!E10+ภาพรวมผลผลิตที่3!E10+ภาพรวมโครงการ!E8</f>
        <v>1435342.22</v>
      </c>
      <c r="F9" s="35">
        <f>+ค่าใช้จ่ายบุคคลากรภาครัฐ!F10+ภาพรวมผลผลิตที่1!F10+ภาพรวมผลผลิตที่2!F10+ภาพรวมผลผลิตที่3!F10+ภาพรวมโครงการ!F8</f>
        <v>1736492.2400000002</v>
      </c>
      <c r="G9" s="35">
        <f>+ค่าใช้จ่ายบุคคลากรภาครัฐ!G10+ภาพรวมผลผลิตที่1!G10+ภาพรวมผลผลิตที่2!G10+ภาพรวมผลผลิตที่3!G10+ภาพรวมโครงการ!G8</f>
        <v>2307847.04</v>
      </c>
      <c r="H9" s="35">
        <f>+ค่าใช้จ่ายบุคคลากรภาครัฐ!H10+ภาพรวมผลผลิตที่1!H10+ภาพรวมผลผลิตที่2!H10+ภาพรวมผลผลิตที่3!H10+ภาพรวมโครงการ!H8</f>
        <v>2686924.52</v>
      </c>
      <c r="I9" s="35">
        <f>+ค่าใช้จ่ายบุคคลากรภาครัฐ!I10+ภาพรวมผลผลิตที่1!I10+ภาพรวมผลผลิตที่2!I10+ภาพรวมผลผลิตที่3!I10+ภาพรวมโครงการ!I8</f>
        <v>3145016.59</v>
      </c>
      <c r="J9" s="35">
        <f>+ค่าใช้จ่ายบุคคลากรภาครัฐ!J10+ภาพรวมผลผลิตที่1!J10+ภาพรวมผลผลิตที่2!J10+ภาพรวมผลผลิตที่3!J10+ภาพรวมโครงการ!J8</f>
        <v>3454014.9400000004</v>
      </c>
      <c r="K9" s="35">
        <f>+ค่าใช้จ่ายบุคคลากรภาครัฐ!K10+ภาพรวมผลผลิตที่1!K10+ภาพรวมผลผลิตที่2!K10+ภาพรวมผลผลิตที่3!K10+ภาพรวมโครงการ!K8</f>
        <v>0</v>
      </c>
      <c r="L9" s="35">
        <f>+ค่าใช้จ่ายบุคคลากรภาครัฐ!L10+ภาพรวมผลผลิตที่1!L10+ภาพรวมผลผลิตที่2!L10+ภาพรวมผลผลิตที่3!L10+ภาพรวมโครงการ!L8</f>
        <v>0</v>
      </c>
      <c r="M9" s="35">
        <f>+ค่าใช้จ่ายบุคคลากรภาครัฐ!M10+ภาพรวมผลผลิตที่1!M10+ภาพรวมผลผลิตที่2!M10+ภาพรวมผลผลิตที่3!M10+ภาพรวมโครงการ!M8</f>
        <v>0</v>
      </c>
      <c r="N9" s="95"/>
      <c r="O9" s="80"/>
      <c r="P9" s="80"/>
      <c r="Q9" s="80"/>
      <c r="R9" s="80"/>
      <c r="S9" s="80"/>
      <c r="T9" s="80"/>
      <c r="U9" s="80"/>
      <c r="V9" s="80"/>
      <c r="W9" s="80"/>
      <c r="X9" s="80"/>
      <c r="Y9" s="80"/>
      <c r="Z9" s="80"/>
      <c r="AA9" s="80"/>
      <c r="AB9" s="80"/>
      <c r="AC9" s="80"/>
      <c r="AD9" s="80"/>
      <c r="AE9" s="80"/>
      <c r="AF9" s="80"/>
      <c r="AG9" s="80"/>
      <c r="AH9" s="80"/>
      <c r="AI9" s="80"/>
      <c r="AJ9" s="80"/>
      <c r="AK9" s="80"/>
      <c r="AL9" s="80"/>
      <c r="AM9" s="80"/>
      <c r="AN9" s="80"/>
      <c r="AO9" s="80"/>
      <c r="AP9" s="80"/>
      <c r="AQ9" s="80"/>
      <c r="AR9" s="80"/>
      <c r="AS9" s="80"/>
      <c r="AT9" s="80"/>
      <c r="AU9" s="80"/>
      <c r="AV9" s="80"/>
      <c r="AW9" s="80"/>
      <c r="AX9" s="80"/>
      <c r="AY9" s="80"/>
      <c r="AZ9" s="80"/>
      <c r="BA9" s="80"/>
      <c r="BB9" s="80"/>
      <c r="BC9" s="80"/>
      <c r="BD9" s="80"/>
      <c r="BE9" s="80"/>
      <c r="BF9" s="80"/>
      <c r="BG9" s="80"/>
      <c r="BH9" s="80"/>
      <c r="BI9" s="80"/>
      <c r="BJ9" s="80"/>
    </row>
    <row r="10" spans="1:62">
      <c r="A10" s="11" t="s">
        <v>31</v>
      </c>
      <c r="B10" s="35">
        <f>+ค่าใช้จ่ายบุคคลากรภาครัฐ!B11+ภาพรวมผลผลิตที่1!B11+ภาพรวมผลผลิตที่2!B11+ภาพรวมผลผลิตที่3!B11+ภาพรวมโครงการ!B9</f>
        <v>346213.73</v>
      </c>
      <c r="C10" s="35">
        <f>+ค่าใช้จ่ายบุคคลากรภาครัฐ!C11+ภาพรวมผลผลิตที่1!C11+ภาพรวมผลผลิตที่2!C11+ภาพรวมผลผลิตที่3!C11+ภาพรวมโครงการ!C9</f>
        <v>715532.37</v>
      </c>
      <c r="D10" s="35">
        <f>+ค่าใช้จ่ายบุคคลากรภาครัฐ!D11+ภาพรวมผลผลิตที่1!D11+ภาพรวมผลผลิตที่2!D11+ภาพรวมผลผลิตที่3!D11+ภาพรวมโครงการ!D9</f>
        <v>1379458.1800000002</v>
      </c>
      <c r="E10" s="35">
        <f>+ค่าใช้จ่ายบุคคลากรภาครัฐ!E11+ภาพรวมผลผลิตที่1!E11+ภาพรวมผลผลิตที่2!E11+ภาพรวมผลผลิตที่3!E11+ภาพรวมโครงการ!E9</f>
        <v>1791058.9500000002</v>
      </c>
      <c r="F10" s="35">
        <f>+ค่าใช้จ่ายบุคคลากรภาครัฐ!F11+ภาพรวมผลผลิตที่1!F11+ภาพรวมผลผลิตที่2!F11+ภาพรวมผลผลิตที่3!F11+ภาพรวมโครงการ!F9</f>
        <v>2367739.0099999998</v>
      </c>
      <c r="G10" s="35">
        <f>+ค่าใช้จ่ายบุคคลากรภาครัฐ!G11+ภาพรวมผลผลิตที่1!G11+ภาพรวมผลผลิตที่2!G11+ภาพรวมผลผลิตที่3!G11+ภาพรวมโครงการ!G9</f>
        <v>2806064.5</v>
      </c>
      <c r="H10" s="35">
        <f>+ค่าใช้จ่ายบุคคลากรภาครัฐ!H11+ภาพรวมผลผลิตที่1!H11+ภาพรวมผลผลิตที่2!H11+ภาพรวมผลผลิตที่3!H11+ภาพรวมโครงการ!H9</f>
        <v>3149483.3499999996</v>
      </c>
      <c r="I10" s="35">
        <f>+ค่าใช้จ่ายบุคคลากรภาครัฐ!I11+ภาพรวมผลผลิตที่1!I11+ภาพรวมผลผลิตที่2!I11+ภาพรวมผลผลิตที่3!I11+ภาพรวมโครงการ!I9</f>
        <v>3936161.7199999997</v>
      </c>
      <c r="J10" s="35">
        <f>+ค่าใช้จ่ายบุคคลากรภาครัฐ!J11+ภาพรวมผลผลิตที่1!J11+ภาพรวมผลผลิตที่2!J11+ภาพรวมผลผลิตที่3!J11+ภาพรวมโครงการ!J9</f>
        <v>4461883.58</v>
      </c>
      <c r="K10" s="35">
        <f>+ค่าใช้จ่ายบุคคลากรภาครัฐ!K11+ภาพรวมผลผลิตที่1!K11+ภาพรวมผลผลิตที่2!K11+ภาพรวมผลผลิตที่3!K11+ภาพรวมโครงการ!K9</f>
        <v>0</v>
      </c>
      <c r="L10" s="35">
        <f>+ค่าใช้จ่ายบุคคลากรภาครัฐ!L11+ภาพรวมผลผลิตที่1!L11+ภาพรวมผลผลิตที่2!L11+ภาพรวมผลผลิตที่3!L11+ภาพรวมโครงการ!L9</f>
        <v>0</v>
      </c>
      <c r="M10" s="35">
        <f>+ค่าใช้จ่ายบุคคลากรภาครัฐ!M11+ภาพรวมผลผลิตที่1!M11+ภาพรวมผลผลิตที่2!M11+ภาพรวมผลผลิตที่3!M11+ภาพรวมโครงการ!M9</f>
        <v>0</v>
      </c>
      <c r="N10" s="95"/>
      <c r="O10" s="80"/>
      <c r="P10" s="81"/>
      <c r="Q10" s="80"/>
      <c r="R10" s="80"/>
      <c r="S10" s="80"/>
      <c r="T10" s="80"/>
      <c r="U10" s="80"/>
      <c r="V10" s="80"/>
      <c r="W10" s="80"/>
      <c r="X10" s="80"/>
      <c r="Y10" s="80"/>
      <c r="Z10" s="80"/>
      <c r="AA10" s="80"/>
      <c r="AB10" s="80"/>
      <c r="AC10" s="80"/>
      <c r="AD10" s="80"/>
      <c r="AE10" s="80"/>
      <c r="AF10" s="80"/>
      <c r="AG10" s="80"/>
      <c r="AH10" s="80"/>
      <c r="AI10" s="80"/>
      <c r="AJ10" s="80"/>
      <c r="AK10" s="80"/>
      <c r="AL10" s="80"/>
      <c r="AM10" s="80"/>
      <c r="AN10" s="80"/>
      <c r="AO10" s="80"/>
      <c r="AP10" s="80"/>
      <c r="AQ10" s="80"/>
      <c r="AR10" s="80"/>
      <c r="AS10" s="80"/>
      <c r="AT10" s="80"/>
      <c r="AU10" s="80"/>
      <c r="AV10" s="80"/>
      <c r="AW10" s="80"/>
      <c r="AX10" s="80"/>
      <c r="AY10" s="80"/>
      <c r="AZ10" s="80"/>
      <c r="BA10" s="80"/>
      <c r="BB10" s="80"/>
      <c r="BC10" s="80"/>
      <c r="BD10" s="80"/>
      <c r="BE10" s="80"/>
      <c r="BF10" s="80"/>
      <c r="BG10" s="80"/>
      <c r="BH10" s="80"/>
      <c r="BI10" s="80"/>
      <c r="BJ10" s="80"/>
    </row>
    <row r="11" spans="1:62" s="20" customFormat="1">
      <c r="A11" s="23" t="s">
        <v>30</v>
      </c>
      <c r="B11" s="46">
        <f>SUM(B12)</f>
        <v>1409429.29</v>
      </c>
      <c r="C11" s="46">
        <f t="shared" ref="C11:M11" si="3">SUM(C12)</f>
        <v>4777542.8000000007</v>
      </c>
      <c r="D11" s="46">
        <f t="shared" si="3"/>
        <v>10075267.670000002</v>
      </c>
      <c r="E11" s="46">
        <f t="shared" si="3"/>
        <v>12222454.200000001</v>
      </c>
      <c r="F11" s="46">
        <f t="shared" si="3"/>
        <v>16832678.460000001</v>
      </c>
      <c r="G11" s="46">
        <f t="shared" si="3"/>
        <v>22460784.309999999</v>
      </c>
      <c r="H11" s="46">
        <f t="shared" si="3"/>
        <v>25839809.450000003</v>
      </c>
      <c r="I11" s="46">
        <f t="shared" si="3"/>
        <v>31880519.149999999</v>
      </c>
      <c r="J11" s="46">
        <f t="shared" si="3"/>
        <v>41660638.849999994</v>
      </c>
      <c r="K11" s="46">
        <f t="shared" si="3"/>
        <v>0</v>
      </c>
      <c r="L11" s="46">
        <f t="shared" si="3"/>
        <v>0</v>
      </c>
      <c r="M11" s="46">
        <f t="shared" si="3"/>
        <v>0</v>
      </c>
      <c r="N11" s="96"/>
      <c r="O11" s="94"/>
      <c r="P11" s="157"/>
      <c r="Q11" s="94"/>
      <c r="R11" s="94"/>
      <c r="S11" s="94"/>
      <c r="T11" s="94"/>
      <c r="U11" s="94"/>
      <c r="V11" s="94"/>
      <c r="W11" s="94"/>
      <c r="X11" s="94"/>
      <c r="Y11" s="94"/>
      <c r="Z11" s="94"/>
      <c r="AA11" s="94"/>
      <c r="AB11" s="94"/>
      <c r="AC11" s="94"/>
      <c r="AD11" s="94"/>
      <c r="AE11" s="94"/>
      <c r="AF11" s="94"/>
      <c r="AG11" s="94"/>
      <c r="AH11" s="94"/>
      <c r="AI11" s="94"/>
      <c r="AJ11" s="94"/>
      <c r="AK11" s="94"/>
      <c r="AL11" s="94"/>
      <c r="AM11" s="94"/>
      <c r="AN11" s="94"/>
      <c r="AO11" s="94"/>
      <c r="AP11" s="94"/>
      <c r="AQ11" s="94"/>
      <c r="AR11" s="94"/>
      <c r="AS11" s="94"/>
      <c r="AT11" s="94"/>
      <c r="AU11" s="94"/>
      <c r="AV11" s="94"/>
      <c r="AW11" s="94"/>
      <c r="AX11" s="94"/>
      <c r="AY11" s="94"/>
      <c r="AZ11" s="94"/>
      <c r="BA11" s="94"/>
      <c r="BB11" s="94"/>
      <c r="BC11" s="94"/>
      <c r="BD11" s="94"/>
      <c r="BE11" s="94"/>
      <c r="BF11" s="94"/>
      <c r="BG11" s="94"/>
      <c r="BH11" s="94"/>
      <c r="BI11" s="94"/>
      <c r="BJ11" s="94"/>
    </row>
    <row r="12" spans="1:62" s="47" customFormat="1">
      <c r="A12" s="34" t="s">
        <v>25</v>
      </c>
      <c r="B12" s="45">
        <f>+ค่าใช้จ่ายบุคคลากรภาครัฐ!B13+ภาพรวมผลผลิตที่1!B13+ภาพรวมผลผลิตที่2!B13+ภาพรวมผลผลิตที่3!B13+ภาพรวมโครงการ!B13</f>
        <v>1409429.29</v>
      </c>
      <c r="C12" s="45">
        <f>+ค่าใช้จ่ายบุคคลากรภาครัฐ!C13+ภาพรวมผลผลิตที่1!C13+ภาพรวมผลผลิตที่2!C13+ภาพรวมผลผลิตที่3!C13+ภาพรวมโครงการ!C13</f>
        <v>4777542.8000000007</v>
      </c>
      <c r="D12" s="45">
        <f>+ค่าใช้จ่ายบุคคลากรภาครัฐ!D13+ภาพรวมผลผลิตที่1!D13+ภาพรวมผลผลิตที่2!D13+ภาพรวมผลผลิตที่3!D13+ภาพรวมโครงการ!D13</f>
        <v>10075267.670000002</v>
      </c>
      <c r="E12" s="45">
        <f>+ค่าใช้จ่ายบุคคลากรภาครัฐ!E13+ภาพรวมผลผลิตที่1!E13+ภาพรวมผลผลิตที่2!E13+ภาพรวมผลผลิตที่3!E13+ภาพรวมโครงการ!E13</f>
        <v>12222454.200000001</v>
      </c>
      <c r="F12" s="45">
        <f>+ค่าใช้จ่ายบุคคลากรภาครัฐ!F13+ภาพรวมผลผลิตที่1!F13+ภาพรวมผลผลิตที่2!F13+ภาพรวมผลผลิตที่3!F13+ภาพรวมโครงการ!F13</f>
        <v>16832678.460000001</v>
      </c>
      <c r="G12" s="45">
        <f>+ค่าใช้จ่ายบุคคลากรภาครัฐ!G13+ภาพรวมผลผลิตที่1!G13+ภาพรวมผลผลิตที่2!G13+ภาพรวมผลผลิตที่3!G13+ภาพรวมโครงการ!G13</f>
        <v>22460784.309999999</v>
      </c>
      <c r="H12" s="45">
        <f>+ค่าใช้จ่ายบุคคลากรภาครัฐ!H13+ภาพรวมผลผลิตที่1!H13+ภาพรวมผลผลิตที่2!H13+ภาพรวมผลผลิตที่3!H13+ภาพรวมโครงการ!H13</f>
        <v>25839809.450000003</v>
      </c>
      <c r="I12" s="45">
        <f>+ค่าใช้จ่ายบุคคลากรภาครัฐ!I13+ภาพรวมผลผลิตที่1!I13+ภาพรวมผลผลิตที่2!I13+ภาพรวมผลผลิตที่3!I13+ภาพรวมโครงการ!I13</f>
        <v>31880519.149999999</v>
      </c>
      <c r="J12" s="45">
        <f>+ค่าใช้จ่ายบุคคลากรภาครัฐ!J13+ภาพรวมผลผลิตที่1!J13+ภาพรวมผลผลิตที่2!J13+ภาพรวมผลผลิตที่3!J13+ภาพรวมโครงการ!J13</f>
        <v>41660638.849999994</v>
      </c>
      <c r="K12" s="45">
        <f>+ค่าใช้จ่ายบุคคลากรภาครัฐ!K13+ภาพรวมผลผลิตที่1!K13+ภาพรวมผลผลิตที่2!K13+ภาพรวมผลผลิตที่3!K13+ภาพรวมโครงการ!K13</f>
        <v>0</v>
      </c>
      <c r="L12" s="45">
        <f>+ค่าใช้จ่ายบุคคลากรภาครัฐ!L13+ภาพรวมผลผลิตที่1!L13+ภาพรวมผลผลิตที่2!L13+ภาพรวมผลผลิตที่3!L13+ภาพรวมโครงการ!L13</f>
        <v>0</v>
      </c>
      <c r="M12" s="45">
        <f>+ค่าใช้จ่ายบุคคลากรภาครัฐ!M13+ภาพรวมผลผลิตที่1!M13+ภาพรวมผลผลิตที่2!M13+ภาพรวมผลผลิตที่3!M13+ภาพรวมโครงการ!M13</f>
        <v>0</v>
      </c>
      <c r="N12" s="95"/>
      <c r="O12" s="80"/>
      <c r="P12" s="81"/>
      <c r="Q12" s="80"/>
      <c r="R12" s="80"/>
      <c r="S12" s="80"/>
      <c r="T12" s="80"/>
      <c r="U12" s="80"/>
      <c r="V12" s="80"/>
      <c r="W12" s="80"/>
      <c r="X12" s="80"/>
      <c r="Y12" s="80"/>
      <c r="Z12" s="80"/>
      <c r="AA12" s="80"/>
      <c r="AB12" s="80"/>
      <c r="AC12" s="80"/>
      <c r="AD12" s="80"/>
      <c r="AE12" s="80"/>
      <c r="AF12" s="80"/>
      <c r="AG12" s="80"/>
      <c r="AH12" s="80"/>
      <c r="AI12" s="80"/>
      <c r="AJ12" s="80"/>
      <c r="AK12" s="80"/>
      <c r="AL12" s="80"/>
      <c r="AM12" s="80"/>
      <c r="AN12" s="80"/>
      <c r="AO12" s="80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80"/>
      <c r="BB12" s="80"/>
      <c r="BC12" s="80"/>
      <c r="BD12" s="80"/>
      <c r="BE12" s="80"/>
      <c r="BF12" s="80"/>
      <c r="BG12" s="80"/>
      <c r="BH12" s="80"/>
      <c r="BI12" s="80"/>
      <c r="BJ12" s="80"/>
    </row>
    <row r="13" spans="1:62" s="47" customFormat="1">
      <c r="A13" s="23" t="s">
        <v>35</v>
      </c>
      <c r="B13" s="54">
        <f>SUM(B14)</f>
        <v>0</v>
      </c>
      <c r="C13" s="54">
        <f t="shared" ref="C13:M13" si="4">SUM(C14)</f>
        <v>0</v>
      </c>
      <c r="D13" s="54">
        <f t="shared" si="4"/>
        <v>261500</v>
      </c>
      <c r="E13" s="54">
        <f t="shared" si="4"/>
        <v>5359404.38</v>
      </c>
      <c r="F13" s="54">
        <f>SUM(F14)</f>
        <v>5359404.38</v>
      </c>
      <c r="G13" s="54">
        <f t="shared" si="4"/>
        <v>5359404.38</v>
      </c>
      <c r="H13" s="54">
        <f t="shared" si="4"/>
        <v>5359404.38</v>
      </c>
      <c r="I13" s="54">
        <f t="shared" si="4"/>
        <v>5359404.38</v>
      </c>
      <c r="J13" s="54">
        <f t="shared" si="4"/>
        <v>5359404.38</v>
      </c>
      <c r="K13" s="54">
        <f t="shared" si="4"/>
        <v>0</v>
      </c>
      <c r="L13" s="54">
        <f t="shared" si="4"/>
        <v>0</v>
      </c>
      <c r="M13" s="54">
        <f t="shared" si="4"/>
        <v>0</v>
      </c>
      <c r="N13" s="95"/>
      <c r="O13" s="80"/>
      <c r="P13" s="80"/>
      <c r="Q13" s="80"/>
      <c r="R13" s="80"/>
      <c r="S13" s="80"/>
      <c r="T13" s="80"/>
      <c r="U13" s="80"/>
      <c r="V13" s="80"/>
      <c r="W13" s="80"/>
      <c r="X13" s="80"/>
      <c r="Y13" s="80"/>
      <c r="Z13" s="80"/>
      <c r="AA13" s="80"/>
      <c r="AB13" s="80"/>
      <c r="AC13" s="80"/>
      <c r="AD13" s="80"/>
      <c r="AE13" s="80"/>
      <c r="AF13" s="80"/>
      <c r="AG13" s="80"/>
      <c r="AH13" s="80"/>
      <c r="AI13" s="80"/>
      <c r="AJ13" s="80"/>
      <c r="AK13" s="80"/>
      <c r="AL13" s="80"/>
      <c r="AM13" s="80"/>
      <c r="AN13" s="80"/>
      <c r="AO13" s="80"/>
      <c r="AP13" s="80"/>
      <c r="AQ13" s="80"/>
      <c r="AR13" s="80"/>
      <c r="AS13" s="80"/>
      <c r="AT13" s="80"/>
      <c r="AU13" s="80"/>
      <c r="AV13" s="80"/>
      <c r="AW13" s="80"/>
      <c r="AX13" s="80"/>
      <c r="AY13" s="80"/>
      <c r="AZ13" s="80"/>
      <c r="BA13" s="80"/>
      <c r="BB13" s="80"/>
      <c r="BC13" s="80"/>
      <c r="BD13" s="80"/>
      <c r="BE13" s="80"/>
      <c r="BF13" s="80"/>
      <c r="BG13" s="80"/>
      <c r="BH13" s="80"/>
      <c r="BI13" s="80"/>
      <c r="BJ13" s="80"/>
    </row>
    <row r="14" spans="1:62" s="20" customFormat="1">
      <c r="A14" s="5" t="s">
        <v>36</v>
      </c>
      <c r="B14" s="51">
        <f>+ค่าใช้จ่ายบุคคลากรภาครัฐ!B15+ภาพรวมผลผลิตที่1!B15+ภาพรวมผลผลิตที่2!B15+ภาพรวมผลผลิตที่3!B15</f>
        <v>0</v>
      </c>
      <c r="C14" s="51">
        <f>+ค่าใช้จ่ายบุคคลากรภาครัฐ!C15+ภาพรวมผลผลิตที่1!C15+ภาพรวมผลผลิตที่2!C15+ภาพรวมผลผลิตที่3!C15</f>
        <v>0</v>
      </c>
      <c r="D14" s="51">
        <f>+ภาพรวมผลผลิตที่1!D15+ภาพรวมผลผลิตที่2!D15+ภาพรวมผลผลิตที่3!D15+ภาพรวมโครงการ!D11</f>
        <v>261500</v>
      </c>
      <c r="E14" s="51">
        <f>+ภาพรวมผลผลิตที่1!E15+ภาพรวมผลผลิตที่2!E15+ภาพรวมผลผลิตที่3!E15+ภาพรวมโครงการ!E11</f>
        <v>5359404.38</v>
      </c>
      <c r="F14" s="51">
        <f>+ภาพรวมผลผลิตที่1!F15+ภาพรวมผลผลิตที่2!F15+ภาพรวมผลผลิตที่3!F15+ภาพรวมโครงการ!F11</f>
        <v>5359404.38</v>
      </c>
      <c r="G14" s="51">
        <f>+ภาพรวมผลผลิตที่1!G15+ภาพรวมผลผลิตที่2!G15+ภาพรวมผลผลิตที่3!G15+ภาพรวมโครงการ!G11</f>
        <v>5359404.38</v>
      </c>
      <c r="H14" s="51">
        <f>+ภาพรวมผลผลิตที่1!H15+ภาพรวมผลผลิตที่2!H15+ภาพรวมผลผลิตที่3!H15+ภาพรวมโครงการ!H11</f>
        <v>5359404.38</v>
      </c>
      <c r="I14" s="51">
        <f>+ภาพรวมผลผลิตที่1!I15+ภาพรวมผลผลิตที่2!I15+ภาพรวมผลผลิตที่3!I15+ภาพรวมโครงการ!I11</f>
        <v>5359404.38</v>
      </c>
      <c r="J14" s="51">
        <f>+ภาพรวมผลผลิตที่1!J15+ภาพรวมผลผลิตที่2!J15+ภาพรวมผลผลิตที่3!J15+ภาพรวมโครงการ!J11</f>
        <v>5359404.38</v>
      </c>
      <c r="K14" s="51">
        <f>+ภาพรวมผลผลิตที่1!K15+ภาพรวมผลผลิตที่2!K15+ภาพรวมผลผลิตที่3!K15+ภาพรวมโครงการ!K11</f>
        <v>0</v>
      </c>
      <c r="L14" s="51">
        <f>+ภาพรวมผลผลิตที่1!L15+ภาพรวมผลผลิตที่2!L15+ภาพรวมผลผลิตที่3!L15+ภาพรวมโครงการ!L11</f>
        <v>0</v>
      </c>
      <c r="M14" s="51">
        <f>+ภาพรวมผลผลิตที่1!M15+ภาพรวมผลผลิตที่2!M15+ภาพรวมผลผลิตที่3!M15+ภาพรวมโครงการ!M11</f>
        <v>0</v>
      </c>
      <c r="N14" s="96"/>
      <c r="O14" s="94"/>
      <c r="P14" s="94"/>
      <c r="Q14" s="94"/>
      <c r="R14" s="94"/>
      <c r="S14" s="94"/>
      <c r="T14" s="94"/>
      <c r="U14" s="94"/>
      <c r="V14" s="94"/>
      <c r="W14" s="94"/>
      <c r="X14" s="94"/>
      <c r="Y14" s="94"/>
      <c r="Z14" s="94"/>
      <c r="AA14" s="94"/>
      <c r="AB14" s="94"/>
      <c r="AC14" s="94"/>
      <c r="AD14" s="94"/>
      <c r="AE14" s="94"/>
      <c r="AF14" s="94"/>
      <c r="AG14" s="94"/>
      <c r="AH14" s="94"/>
      <c r="AI14" s="94"/>
      <c r="AJ14" s="94"/>
      <c r="AK14" s="94"/>
      <c r="AL14" s="94"/>
      <c r="AM14" s="94"/>
      <c r="AN14" s="94"/>
      <c r="AO14" s="94"/>
      <c r="AP14" s="94"/>
      <c r="AQ14" s="94"/>
      <c r="AR14" s="94"/>
      <c r="AS14" s="94"/>
      <c r="AT14" s="94"/>
      <c r="AU14" s="94"/>
      <c r="AV14" s="94"/>
      <c r="AW14" s="94"/>
      <c r="AX14" s="94"/>
      <c r="AY14" s="94"/>
      <c r="AZ14" s="94"/>
      <c r="BA14" s="94"/>
      <c r="BB14" s="94"/>
      <c r="BC14" s="94"/>
      <c r="BD14" s="94"/>
      <c r="BE14" s="94"/>
      <c r="BF14" s="94"/>
      <c r="BG14" s="94"/>
      <c r="BH14" s="94"/>
      <c r="BI14" s="94"/>
      <c r="BJ14" s="94"/>
    </row>
    <row r="15" spans="1:62" s="47" customFormat="1">
      <c r="A15" s="23" t="s">
        <v>39</v>
      </c>
      <c r="B15" s="54">
        <f>SUM(B16:B17)</f>
        <v>0</v>
      </c>
      <c r="C15" s="54">
        <f t="shared" ref="C15:M15" si="5">SUM(C16:C17)</f>
        <v>0</v>
      </c>
      <c r="D15" s="54">
        <f t="shared" si="5"/>
        <v>1280650</v>
      </c>
      <c r="E15" s="54">
        <f t="shared" si="5"/>
        <v>1280650</v>
      </c>
      <c r="F15" s="54">
        <f>SUM(F16:F17)</f>
        <v>1280650</v>
      </c>
      <c r="G15" s="54">
        <f t="shared" si="5"/>
        <v>1280650</v>
      </c>
      <c r="H15" s="54">
        <f t="shared" si="5"/>
        <v>1280650</v>
      </c>
      <c r="I15" s="54">
        <f t="shared" si="5"/>
        <v>3547450</v>
      </c>
      <c r="J15" s="54">
        <f t="shared" si="5"/>
        <v>6107450</v>
      </c>
      <c r="K15" s="54">
        <f t="shared" si="5"/>
        <v>0</v>
      </c>
      <c r="L15" s="54">
        <f t="shared" si="5"/>
        <v>0</v>
      </c>
      <c r="M15" s="54">
        <f t="shared" si="5"/>
        <v>0</v>
      </c>
      <c r="N15" s="95"/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80"/>
      <c r="Z15" s="80"/>
      <c r="AA15" s="80"/>
      <c r="AB15" s="80"/>
      <c r="AC15" s="80"/>
      <c r="AD15" s="80"/>
      <c r="AE15" s="80"/>
      <c r="AF15" s="80"/>
      <c r="AG15" s="80"/>
      <c r="AH15" s="80"/>
      <c r="AI15" s="80"/>
      <c r="AJ15" s="80"/>
      <c r="AK15" s="80"/>
      <c r="AL15" s="80"/>
      <c r="AM15" s="80"/>
      <c r="AN15" s="80"/>
      <c r="AO15" s="80"/>
      <c r="AP15" s="80"/>
      <c r="AQ15" s="80"/>
      <c r="AR15" s="80"/>
      <c r="AS15" s="80"/>
      <c r="AT15" s="80"/>
      <c r="AU15" s="80"/>
      <c r="AV15" s="80"/>
      <c r="AW15" s="80"/>
      <c r="AX15" s="80"/>
      <c r="AY15" s="80"/>
      <c r="AZ15" s="80"/>
      <c r="BA15" s="80"/>
      <c r="BB15" s="80"/>
      <c r="BC15" s="80"/>
      <c r="BD15" s="80"/>
      <c r="BE15" s="80"/>
      <c r="BF15" s="80"/>
      <c r="BG15" s="80"/>
      <c r="BH15" s="80"/>
      <c r="BI15" s="80"/>
      <c r="BJ15" s="80"/>
    </row>
    <row r="16" spans="1:62" s="20" customFormat="1">
      <c r="A16" s="5" t="s">
        <v>40</v>
      </c>
      <c r="B16" s="51">
        <f>+ค่าใช้จ่ายบุคคลากรภาครัฐ!B17+ภาพรวมผลผลิตที่1!B17+ภาพรวมผลผลิตที่2!B17+ภาพรวมผลผลิตที่3!B17+ภาพรวมโครงการ!B15</f>
        <v>0</v>
      </c>
      <c r="C16" s="51">
        <f>+ค่าใช้จ่ายบุคคลากรภาครัฐ!C17+ภาพรวมผลผลิตที่1!C17+ภาพรวมผลผลิตที่2!C17+ภาพรวมผลผลิตที่3!C17+ภาพรวมโครงการ!C15</f>
        <v>0</v>
      </c>
      <c r="D16" s="51">
        <f>+ค่าใช้จ่ายบุคคลากรภาครัฐ!D17+ภาพรวมผลผลิตที่1!D17+ภาพรวมผลผลิตที่2!D17+ภาพรวมผลผลิตที่3!D17+ภาพรวมโครงการ!D15</f>
        <v>1280650</v>
      </c>
      <c r="E16" s="51">
        <f>+ค่าใช้จ่ายบุคคลากรภาครัฐ!E17+ภาพรวมผลผลิตที่1!E17+ภาพรวมผลผลิตที่2!E17+ภาพรวมผลผลิตที่3!E17+ภาพรวมโครงการ!E15</f>
        <v>1280650</v>
      </c>
      <c r="F16" s="51">
        <f>+ค่าใช้จ่ายบุคคลากรภาครัฐ!F17+ภาพรวมผลผลิตที่1!F17+ภาพรวมผลผลิตที่2!F17+ภาพรวมผลผลิตที่3!F17+ภาพรวมโครงการ!F15</f>
        <v>1280650</v>
      </c>
      <c r="G16" s="51">
        <f>+ค่าใช้จ่ายบุคคลากรภาครัฐ!G17+ภาพรวมผลผลิตที่1!G17+ภาพรวมผลผลิตที่2!G17+ภาพรวมผลผลิตที่3!G17+ภาพรวมโครงการ!G15</f>
        <v>1280650</v>
      </c>
      <c r="H16" s="51">
        <f>+ค่าใช้จ่ายบุคคลากรภาครัฐ!H17+ภาพรวมผลผลิตที่1!H17+ภาพรวมผลผลิตที่2!H17+ภาพรวมผลผลิตที่3!H17+ภาพรวมโครงการ!H15</f>
        <v>1280650</v>
      </c>
      <c r="I16" s="51">
        <f>+ค่าใช้จ่ายบุคคลากรภาครัฐ!I17+ภาพรวมผลผลิตที่1!I17+ภาพรวมผลผลิตที่2!I17+ภาพรวมผลผลิตที่3!I17+ภาพรวมโครงการ!I15</f>
        <v>3547450</v>
      </c>
      <c r="J16" s="51">
        <f>+ค่าใช้จ่ายบุคคลากรภาครัฐ!J17+ภาพรวมผลผลิตที่1!J17+ภาพรวมผลผลิตที่2!J17+ภาพรวมผลผลิตที่3!J17+ภาพรวมโครงการ!J15</f>
        <v>6107450</v>
      </c>
      <c r="K16" s="51">
        <f>+ค่าใช้จ่ายบุคคลากรภาครัฐ!K17+ภาพรวมผลผลิตที่1!K17+ภาพรวมผลผลิตที่2!K17+ภาพรวมผลผลิตที่3!K17+ภาพรวมโครงการ!K15</f>
        <v>0</v>
      </c>
      <c r="L16" s="51">
        <f>+ค่าใช้จ่ายบุคคลากรภาครัฐ!L17+ภาพรวมผลผลิตที่1!L17+ภาพรวมผลผลิตที่2!L17+ภาพรวมผลผลิตที่3!L17+ภาพรวมโครงการ!L15</f>
        <v>0</v>
      </c>
      <c r="M16" s="51">
        <f>+ค่าใช้จ่ายบุคคลากรภาครัฐ!M17+ภาพรวมผลผลิตที่1!M17+ภาพรวมผลผลิตที่2!M17+ภาพรวมผลผลิตที่3!M17+ภาพรวมโครงการ!M15</f>
        <v>0</v>
      </c>
      <c r="N16" s="96"/>
      <c r="O16" s="94"/>
      <c r="P16" s="94"/>
      <c r="Q16" s="94"/>
      <c r="R16" s="94"/>
      <c r="S16" s="94"/>
      <c r="T16" s="94"/>
      <c r="U16" s="94"/>
      <c r="V16" s="94"/>
      <c r="W16" s="94"/>
      <c r="X16" s="94"/>
      <c r="Y16" s="94"/>
      <c r="Z16" s="94"/>
      <c r="AA16" s="94"/>
      <c r="AB16" s="94"/>
      <c r="AC16" s="94"/>
      <c r="AD16" s="94"/>
      <c r="AE16" s="94"/>
      <c r="AF16" s="94"/>
      <c r="AG16" s="94"/>
      <c r="AH16" s="94"/>
      <c r="AI16" s="94"/>
      <c r="AJ16" s="94"/>
      <c r="AK16" s="94"/>
      <c r="AL16" s="94"/>
      <c r="AM16" s="94"/>
      <c r="AN16" s="94"/>
      <c r="AO16" s="94"/>
      <c r="AP16" s="94"/>
      <c r="AQ16" s="94"/>
      <c r="AR16" s="94"/>
      <c r="AS16" s="94"/>
      <c r="AT16" s="94"/>
      <c r="AU16" s="94"/>
      <c r="AV16" s="94"/>
      <c r="AW16" s="94"/>
      <c r="AX16" s="94"/>
      <c r="AY16" s="94"/>
      <c r="AZ16" s="94"/>
      <c r="BA16" s="94"/>
      <c r="BB16" s="94"/>
      <c r="BC16" s="94"/>
      <c r="BD16" s="94"/>
      <c r="BE16" s="94"/>
      <c r="BF16" s="94"/>
      <c r="BG16" s="94"/>
      <c r="BH16" s="94"/>
      <c r="BI16" s="94"/>
      <c r="BJ16" s="94"/>
    </row>
    <row r="17" spans="1:62" s="18" customFormat="1">
      <c r="A17" s="5" t="s">
        <v>38</v>
      </c>
      <c r="B17" s="51">
        <f>+ภาพรวมผลผลิตที่1!B18+ภาพรวมผลผลิตที่2!B18+ภาพรวมผลผลิตที่3!B18</f>
        <v>0</v>
      </c>
      <c r="C17" s="51">
        <f>+ภาพรวมผลผลิตที่1!C18+ภาพรวมผลผลิตที่2!C18+ภาพรวมผลผลิตที่3!C18</f>
        <v>0</v>
      </c>
      <c r="D17" s="51">
        <f>+ภาพรวมผลผลิตที่1!D18+ภาพรวมผลผลิตที่2!D18+ภาพรวมผลผลิตที่3!D18</f>
        <v>0</v>
      </c>
      <c r="E17" s="51">
        <f>+ภาพรวมผลผลิตที่1!E18+ภาพรวมผลผลิตที่2!E18+ภาพรวมผลผลิตที่3!E18</f>
        <v>0</v>
      </c>
      <c r="F17" s="51">
        <f>+ภาพรวมผลผลิตที่1!F18+ภาพรวมผลผลิตที่2!F18+ภาพรวมผลผลิตที่3!F18</f>
        <v>0</v>
      </c>
      <c r="G17" s="51">
        <f>+ภาพรวมผลผลิตที่1!G18+ภาพรวมผลผลิตที่2!G18+ภาพรวมผลผลิตที่3!G18</f>
        <v>0</v>
      </c>
      <c r="H17" s="51">
        <f>+ภาพรวมผลผลิตที่1!H18+ภาพรวมผลผลิตที่2!H18+ภาพรวมผลผลิตที่3!H18</f>
        <v>0</v>
      </c>
      <c r="I17" s="51">
        <f>+ภาพรวมผลผลิตที่1!I18+ภาพรวมผลผลิตที่2!I18+ภาพรวมผลผลิตที่3!I18</f>
        <v>0</v>
      </c>
      <c r="J17" s="51">
        <f>+ภาพรวมผลผลิตที่1!J18+ภาพรวมผลผลิตที่2!J18+ภาพรวมผลผลิตที่3!J18</f>
        <v>0</v>
      </c>
      <c r="K17" s="51">
        <f>+ภาพรวมผลผลิตที่1!K18+ภาพรวมผลผลิตที่2!K18+ภาพรวมผลผลิตที่3!K18</f>
        <v>0</v>
      </c>
      <c r="L17" s="51">
        <f>+ภาพรวมผลผลิตที่1!L18+ภาพรวมผลผลิตที่2!L18+ภาพรวมผลผลิตที่3!L18</f>
        <v>0</v>
      </c>
      <c r="M17" s="51">
        <f>+ภาพรวมผลผลิตที่1!M18+ภาพรวมผลผลิตที่2!M18+ภาพรวมผลผลิตที่3!M18</f>
        <v>0</v>
      </c>
      <c r="N17" s="96"/>
      <c r="O17" s="80"/>
      <c r="P17" s="80"/>
      <c r="Q17" s="80"/>
      <c r="R17" s="80"/>
      <c r="S17" s="80"/>
      <c r="T17" s="80"/>
      <c r="U17" s="80"/>
      <c r="V17" s="80"/>
      <c r="W17" s="80"/>
      <c r="X17" s="80"/>
      <c r="Y17" s="80"/>
      <c r="Z17" s="80"/>
      <c r="AA17" s="80"/>
      <c r="AB17" s="80"/>
      <c r="AC17" s="80"/>
      <c r="AD17" s="80"/>
      <c r="AE17" s="80"/>
      <c r="AF17" s="80"/>
      <c r="AG17" s="80"/>
      <c r="AH17" s="80"/>
      <c r="AI17" s="80"/>
      <c r="AJ17" s="80"/>
      <c r="AK17" s="80"/>
      <c r="AL17" s="80"/>
      <c r="AM17" s="80"/>
      <c r="AN17" s="80"/>
      <c r="AO17" s="80"/>
      <c r="AP17" s="80"/>
      <c r="AQ17" s="80"/>
      <c r="AR17" s="80"/>
      <c r="AS17" s="80"/>
      <c r="AT17" s="80"/>
      <c r="AU17" s="80"/>
      <c r="AV17" s="80"/>
      <c r="AW17" s="80"/>
      <c r="AX17" s="80"/>
      <c r="AY17" s="80"/>
      <c r="AZ17" s="80"/>
      <c r="BA17" s="80"/>
      <c r="BB17" s="80"/>
      <c r="BC17" s="80"/>
      <c r="BD17" s="80"/>
      <c r="BE17" s="80"/>
      <c r="BF17" s="80"/>
      <c r="BG17" s="80"/>
      <c r="BH17" s="80"/>
      <c r="BI17" s="80"/>
      <c r="BJ17" s="80"/>
    </row>
    <row r="18" spans="1:62">
      <c r="C18" s="44"/>
      <c r="E18" s="44"/>
      <c r="F18" s="39"/>
      <c r="G18" s="44"/>
    </row>
    <row r="19" spans="1:62">
      <c r="B19" s="80"/>
      <c r="C19" s="81"/>
      <c r="D19" s="79"/>
      <c r="E19" s="79"/>
      <c r="F19" s="80"/>
      <c r="G19" s="81"/>
      <c r="H19" s="81"/>
      <c r="I19" s="81"/>
      <c r="J19" s="80"/>
      <c r="K19" s="80"/>
      <c r="L19" s="80"/>
      <c r="M19" s="80"/>
      <c r="N19" s="80"/>
    </row>
    <row r="20" spans="1:62">
      <c r="B20" s="80"/>
      <c r="C20" s="81"/>
      <c r="D20" s="81"/>
      <c r="E20" s="80"/>
      <c r="F20" s="81"/>
      <c r="G20" s="84"/>
      <c r="H20" s="81"/>
      <c r="I20" s="81"/>
      <c r="J20" s="80"/>
      <c r="K20" s="80"/>
      <c r="L20" s="81"/>
      <c r="M20" s="80"/>
      <c r="N20" s="81"/>
    </row>
    <row r="21" spans="1:62">
      <c r="B21" s="80"/>
      <c r="C21" s="81"/>
      <c r="D21" s="92"/>
      <c r="E21" s="81"/>
      <c r="F21" s="81"/>
      <c r="G21" s="84"/>
      <c r="H21" s="81"/>
      <c r="I21" s="81"/>
      <c r="J21" s="80"/>
      <c r="K21" s="80"/>
      <c r="L21" s="80"/>
      <c r="M21" s="80"/>
      <c r="N21" s="80"/>
    </row>
    <row r="22" spans="1:62">
      <c r="A22" s="39"/>
      <c r="B22" s="81"/>
      <c r="C22" s="81"/>
      <c r="D22" s="80"/>
      <c r="E22" s="81"/>
      <c r="F22" s="78"/>
      <c r="G22" s="80"/>
      <c r="H22" s="81"/>
      <c r="I22" s="81"/>
      <c r="J22" s="80"/>
      <c r="K22" s="80"/>
      <c r="L22" s="79"/>
      <c r="M22" s="79"/>
      <c r="N22" s="81"/>
    </row>
    <row r="23" spans="1:62" s="39" customFormat="1">
      <c r="B23" s="81"/>
      <c r="C23" s="81"/>
      <c r="D23" s="81"/>
      <c r="E23" s="81"/>
      <c r="F23" s="91"/>
      <c r="G23" s="79"/>
      <c r="H23" s="91"/>
      <c r="I23" s="91"/>
      <c r="J23" s="81"/>
      <c r="K23" s="81"/>
      <c r="L23" s="81"/>
      <c r="M23" s="81"/>
      <c r="N23" s="81"/>
    </row>
    <row r="24" spans="1:62">
      <c r="B24" s="81"/>
      <c r="C24" s="81"/>
      <c r="D24" s="81"/>
      <c r="E24" s="81"/>
      <c r="F24" s="91"/>
      <c r="G24" s="91"/>
      <c r="H24" s="91"/>
      <c r="I24" s="91"/>
      <c r="J24" s="80"/>
      <c r="K24" s="80"/>
      <c r="L24" s="80"/>
      <c r="M24" s="80"/>
      <c r="N24" s="80"/>
    </row>
    <row r="25" spans="1:62">
      <c r="B25" s="81"/>
      <c r="C25" s="81">
        <v>3306500</v>
      </c>
      <c r="D25" s="81"/>
      <c r="E25" s="81"/>
      <c r="F25" s="91"/>
      <c r="G25" s="79"/>
      <c r="H25" s="91"/>
      <c r="I25" s="91"/>
      <c r="J25" s="80"/>
      <c r="K25" s="80"/>
      <c r="L25" s="80"/>
      <c r="M25" s="80"/>
      <c r="N25" s="80"/>
    </row>
    <row r="26" spans="1:62">
      <c r="B26" s="81"/>
      <c r="C26" s="81">
        <v>180791300</v>
      </c>
      <c r="D26" s="81"/>
      <c r="E26" s="81"/>
      <c r="F26" s="91"/>
      <c r="G26" s="91"/>
      <c r="H26" s="91"/>
      <c r="I26" s="91"/>
      <c r="J26" s="80"/>
      <c r="K26" s="85"/>
      <c r="L26" s="85"/>
      <c r="M26" s="80"/>
      <c r="N26" s="85"/>
    </row>
    <row r="27" spans="1:62">
      <c r="B27" s="81"/>
      <c r="C27" s="81">
        <f>SUM(C25:C26)</f>
        <v>184097800</v>
      </c>
      <c r="D27" s="81"/>
      <c r="E27" s="81"/>
      <c r="F27" s="91"/>
      <c r="G27" s="79"/>
      <c r="H27" s="91"/>
      <c r="I27" s="86"/>
      <c r="J27" s="87"/>
      <c r="K27" s="87"/>
      <c r="L27" s="87"/>
      <c r="M27" s="88"/>
      <c r="N27" s="88"/>
    </row>
    <row r="28" spans="1:62">
      <c r="B28" s="81"/>
      <c r="C28" s="81"/>
      <c r="D28" s="81"/>
      <c r="E28" s="81"/>
      <c r="F28" s="91"/>
      <c r="G28" s="79"/>
      <c r="H28" s="91"/>
      <c r="I28" s="79"/>
      <c r="J28" s="80"/>
      <c r="K28" s="89"/>
      <c r="L28" s="81"/>
      <c r="M28" s="81"/>
      <c r="N28" s="89"/>
    </row>
    <row r="29" spans="1:62">
      <c r="B29" s="81"/>
      <c r="C29" s="81"/>
      <c r="D29" s="81"/>
      <c r="E29" s="81"/>
      <c r="F29" s="91"/>
      <c r="G29" s="79"/>
      <c r="H29" s="91"/>
      <c r="I29" s="79"/>
      <c r="J29" s="81"/>
      <c r="K29" s="81"/>
      <c r="L29" s="81"/>
      <c r="M29" s="81"/>
      <c r="N29" s="81"/>
    </row>
    <row r="30" spans="1:62">
      <c r="B30" s="81"/>
      <c r="C30" s="81"/>
      <c r="D30" s="81"/>
      <c r="E30" s="81"/>
      <c r="F30" s="91"/>
      <c r="G30" s="79"/>
      <c r="H30" s="91"/>
      <c r="I30" s="79"/>
      <c r="J30" s="81"/>
      <c r="K30" s="81"/>
      <c r="L30" s="81"/>
      <c r="M30" s="81"/>
      <c r="N30" s="81"/>
    </row>
    <row r="31" spans="1:62">
      <c r="B31" s="81"/>
      <c r="C31" s="81"/>
      <c r="D31" s="81"/>
      <c r="E31" s="81"/>
      <c r="F31" s="91"/>
      <c r="G31" s="79"/>
      <c r="H31" s="91"/>
      <c r="I31" s="79"/>
      <c r="J31" s="81"/>
      <c r="K31" s="81"/>
      <c r="L31" s="81"/>
      <c r="M31" s="81"/>
      <c r="N31" s="81"/>
    </row>
    <row r="32" spans="1:62">
      <c r="B32" s="90"/>
      <c r="C32" s="80"/>
      <c r="D32" s="81"/>
      <c r="E32" s="81"/>
      <c r="F32" s="91"/>
      <c r="G32" s="79"/>
      <c r="H32" s="91"/>
      <c r="I32" s="79"/>
      <c r="J32" s="81"/>
      <c r="K32" s="81"/>
      <c r="L32" s="81"/>
      <c r="M32" s="81"/>
      <c r="N32" s="81"/>
    </row>
    <row r="33" spans="2:14">
      <c r="B33" s="90"/>
      <c r="C33" s="81"/>
      <c r="D33" s="81"/>
      <c r="E33" s="81"/>
      <c r="F33" s="91"/>
      <c r="G33" s="79"/>
      <c r="H33" s="91"/>
      <c r="I33" s="79"/>
      <c r="J33" s="81"/>
      <c r="K33" s="81"/>
      <c r="L33" s="81"/>
      <c r="M33" s="81"/>
      <c r="N33" s="81"/>
    </row>
    <row r="34" spans="2:14">
      <c r="B34" s="90"/>
      <c r="C34" s="81"/>
      <c r="D34" s="81"/>
      <c r="E34" s="81"/>
      <c r="F34" s="91"/>
      <c r="G34" s="79"/>
      <c r="H34" s="91"/>
      <c r="I34" s="79"/>
      <c r="J34" s="81"/>
      <c r="K34" s="81"/>
      <c r="L34" s="81"/>
      <c r="M34" s="81"/>
      <c r="N34" s="81"/>
    </row>
    <row r="35" spans="2:14">
      <c r="B35" s="90"/>
      <c r="C35" s="80"/>
      <c r="D35" s="81"/>
      <c r="E35" s="81"/>
      <c r="F35" s="91"/>
      <c r="G35" s="79"/>
      <c r="H35" s="91"/>
      <c r="I35" s="79"/>
      <c r="J35" s="81"/>
      <c r="K35" s="81"/>
      <c r="L35" s="81"/>
      <c r="M35" s="81"/>
      <c r="N35" s="81"/>
    </row>
    <row r="36" spans="2:14">
      <c r="B36" s="90"/>
      <c r="C36" s="80"/>
      <c r="D36" s="81"/>
      <c r="E36" s="81"/>
      <c r="F36" s="158"/>
      <c r="G36" s="79"/>
      <c r="H36" s="91"/>
      <c r="I36" s="79"/>
      <c r="J36" s="81"/>
      <c r="K36" s="81"/>
      <c r="L36" s="81"/>
      <c r="M36" s="81"/>
      <c r="N36" s="81"/>
    </row>
    <row r="37" spans="2:14">
      <c r="B37" s="90"/>
      <c r="C37" s="80"/>
      <c r="D37" s="79"/>
      <c r="E37" s="80"/>
      <c r="F37" s="91"/>
      <c r="G37" s="79"/>
      <c r="H37" s="91"/>
      <c r="I37" s="79"/>
      <c r="J37" s="81"/>
      <c r="K37" s="81"/>
      <c r="L37" s="81"/>
      <c r="M37" s="81"/>
      <c r="N37" s="81"/>
    </row>
    <row r="38" spans="2:14">
      <c r="B38" s="90"/>
      <c r="C38" s="80"/>
      <c r="D38" s="80"/>
      <c r="E38" s="79"/>
      <c r="F38" s="79"/>
      <c r="G38" s="79"/>
      <c r="H38" s="91"/>
      <c r="I38" s="79"/>
      <c r="J38" s="81"/>
      <c r="K38" s="81"/>
      <c r="L38" s="81"/>
      <c r="M38" s="81"/>
      <c r="N38" s="81"/>
    </row>
    <row r="39" spans="2:14">
      <c r="B39" s="50"/>
      <c r="F39" s="44"/>
      <c r="G39" s="44"/>
      <c r="H39" s="159"/>
      <c r="I39" s="44"/>
      <c r="J39" s="39"/>
      <c r="K39" s="39"/>
      <c r="L39" s="39"/>
      <c r="M39" s="39"/>
      <c r="N39" s="39"/>
    </row>
    <row r="40" spans="2:14">
      <c r="B40" s="50"/>
    </row>
    <row r="41" spans="2:14">
      <c r="B41" s="50"/>
    </row>
    <row r="42" spans="2:14">
      <c r="B42" s="50"/>
      <c r="D42" s="39"/>
    </row>
    <row r="43" spans="2:14">
      <c r="B43" s="50"/>
      <c r="D43" s="44"/>
    </row>
    <row r="44" spans="2:14">
      <c r="B44" s="50"/>
      <c r="F44" s="39"/>
    </row>
    <row r="45" spans="2:14">
      <c r="B45" s="50"/>
    </row>
    <row r="46" spans="2:14">
      <c r="B46" s="50"/>
    </row>
    <row r="47" spans="2:14">
      <c r="B47" s="50"/>
    </row>
    <row r="48" spans="2:14">
      <c r="B48" s="50"/>
    </row>
    <row r="49" spans="2:8">
      <c r="B49" s="50"/>
    </row>
    <row r="50" spans="2:8">
      <c r="B50" s="50"/>
    </row>
    <row r="51" spans="2:8">
      <c r="B51" s="50"/>
    </row>
    <row r="52" spans="2:8">
      <c r="B52" s="50"/>
    </row>
    <row r="53" spans="2:8">
      <c r="B53" s="50"/>
    </row>
    <row r="54" spans="2:8">
      <c r="B54" s="50"/>
    </row>
    <row r="55" spans="2:8">
      <c r="B55" s="50"/>
    </row>
    <row r="56" spans="2:8">
      <c r="B56" s="50"/>
    </row>
    <row r="57" spans="2:8">
      <c r="B57" s="50"/>
    </row>
    <row r="58" spans="2:8">
      <c r="B58" s="50"/>
    </row>
    <row r="59" spans="2:8">
      <c r="B59" s="50"/>
    </row>
    <row r="60" spans="2:8">
      <c r="B60" s="50"/>
    </row>
    <row r="61" spans="2:8">
      <c r="B61" s="50"/>
      <c r="H61" s="49"/>
    </row>
    <row r="62" spans="2:8">
      <c r="B62" s="50"/>
    </row>
    <row r="63" spans="2:8">
      <c r="B63" s="50"/>
    </row>
    <row r="64" spans="2:8">
      <c r="B64" s="50"/>
    </row>
    <row r="65" spans="2:2">
      <c r="B65" s="50"/>
    </row>
    <row r="66" spans="2:2">
      <c r="B66" s="50"/>
    </row>
    <row r="67" spans="2:2">
      <c r="B67" s="50"/>
    </row>
    <row r="68" spans="2:2">
      <c r="B68" s="50"/>
    </row>
    <row r="69" spans="2:2">
      <c r="B69" s="50"/>
    </row>
    <row r="70" spans="2:2">
      <c r="B70" s="50"/>
    </row>
    <row r="71" spans="2:2">
      <c r="B71" s="50"/>
    </row>
    <row r="72" spans="2:2">
      <c r="B72" s="50"/>
    </row>
    <row r="73" spans="2:2">
      <c r="B73" s="50"/>
    </row>
    <row r="74" spans="2:2">
      <c r="B74" s="50"/>
    </row>
    <row r="75" spans="2:2">
      <c r="B75" s="50"/>
    </row>
    <row r="76" spans="2:2">
      <c r="B76" s="50"/>
    </row>
    <row r="77" spans="2:2">
      <c r="B77" s="50"/>
    </row>
    <row r="78" spans="2:2">
      <c r="B78" s="50"/>
    </row>
    <row r="79" spans="2:2">
      <c r="B79" s="50"/>
    </row>
  </sheetData>
  <printOptions horizontalCentered="1"/>
  <pageMargins left="0.43307086614173229" right="0.35433070866141736" top="0.74803149606299213" bottom="0.74803149606299213" header="0.31496062992125984" footer="0.31496062992125984"/>
  <pageSetup paperSize="9" scale="75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92D050"/>
  </sheetPr>
  <dimension ref="B1:H6"/>
  <sheetViews>
    <sheetView tabSelected="1" view="pageBreakPreview" zoomScale="85" zoomScaleNormal="100" zoomScaleSheetLayoutView="85" workbookViewId="0">
      <selection activeCell="H4" sqref="H4"/>
    </sheetView>
  </sheetViews>
  <sheetFormatPr defaultRowHeight="23.25"/>
  <cols>
    <col min="1" max="1" width="14.5" style="1" customWidth="1"/>
    <col min="2" max="2" width="33.5" style="1" customWidth="1"/>
    <col min="3" max="3" width="19.5" style="1" customWidth="1"/>
    <col min="4" max="4" width="17.375" style="1" customWidth="1"/>
    <col min="5" max="5" width="18" style="1" customWidth="1"/>
    <col min="6" max="6" width="17.75" style="1" customWidth="1"/>
    <col min="7" max="7" width="17.125" style="1" customWidth="1"/>
    <col min="8" max="8" width="17.625" style="1" customWidth="1"/>
    <col min="9" max="16384" width="9" style="1"/>
  </cols>
  <sheetData>
    <row r="1" spans="2:8">
      <c r="B1" s="152" t="s">
        <v>69</v>
      </c>
      <c r="C1" s="152"/>
      <c r="D1" s="152"/>
      <c r="E1" s="152"/>
      <c r="F1" s="152"/>
      <c r="G1" s="152"/>
      <c r="H1" s="152"/>
    </row>
    <row r="2" spans="2:8">
      <c r="B2" s="153" t="s">
        <v>90</v>
      </c>
      <c r="C2" s="153"/>
      <c r="D2" s="153"/>
      <c r="E2" s="153"/>
      <c r="F2" s="153"/>
      <c r="G2" s="153"/>
      <c r="H2" s="153"/>
    </row>
    <row r="3" spans="2:8">
      <c r="B3" s="24" t="s">
        <v>41</v>
      </c>
      <c r="C3" s="24" t="s">
        <v>42</v>
      </c>
      <c r="D3" s="24" t="s">
        <v>32</v>
      </c>
      <c r="E3" s="24" t="s">
        <v>43</v>
      </c>
      <c r="F3" s="24" t="s">
        <v>44</v>
      </c>
      <c r="G3" s="24" t="s">
        <v>33</v>
      </c>
      <c r="H3" s="37" t="s">
        <v>27</v>
      </c>
    </row>
    <row r="4" spans="2:8">
      <c r="B4" s="5" t="s">
        <v>45</v>
      </c>
      <c r="C4" s="82">
        <v>80.364900000000006</v>
      </c>
      <c r="D4" s="82">
        <v>85.600499999999997</v>
      </c>
      <c r="E4" s="82">
        <v>24.448699999999999</v>
      </c>
      <c r="F4" s="82">
        <v>5.3624999999999998</v>
      </c>
      <c r="G4" s="82">
        <v>102.9688</v>
      </c>
      <c r="H4" s="83">
        <f>SUM(C4:G4)</f>
        <v>298.74540000000002</v>
      </c>
    </row>
    <row r="5" spans="2:8">
      <c r="B5" s="5" t="s">
        <v>46</v>
      </c>
      <c r="C5" s="114">
        <v>59.688180000000003</v>
      </c>
      <c r="D5" s="114">
        <v>54.893279</v>
      </c>
      <c r="E5" s="114">
        <v>6.10745</v>
      </c>
      <c r="F5" s="114">
        <v>5.3593999999999999</v>
      </c>
      <c r="G5" s="114">
        <v>41.660639000000003</v>
      </c>
      <c r="H5" s="83">
        <f>SUM(C5:G5)</f>
        <v>167.70894799999999</v>
      </c>
    </row>
    <row r="6" spans="2:8">
      <c r="B6" s="5" t="s">
        <v>34</v>
      </c>
      <c r="C6" s="38">
        <f t="shared" ref="C6:G6" si="0">(C5/C4)*100/100</f>
        <v>0.7427145432894211</v>
      </c>
      <c r="D6" s="38">
        <f t="shared" si="0"/>
        <v>0.64127287807898326</v>
      </c>
      <c r="E6" s="38">
        <f t="shared" si="0"/>
        <v>0.24980673819057866</v>
      </c>
      <c r="F6" s="38">
        <f t="shared" si="0"/>
        <v>0.99942191142191139</v>
      </c>
      <c r="G6" s="38">
        <f t="shared" si="0"/>
        <v>0.40459478016641937</v>
      </c>
      <c r="H6" s="38">
        <f>(H5/H4)*100/100</f>
        <v>0.56137750740262438</v>
      </c>
    </row>
  </sheetData>
  <mergeCells count="2">
    <mergeCell ref="B1:H1"/>
    <mergeCell ref="B2:H2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74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1:F14"/>
  <sheetViews>
    <sheetView workbookViewId="0">
      <selection activeCell="C12" sqref="C12"/>
    </sheetView>
  </sheetViews>
  <sheetFormatPr defaultColWidth="11.5" defaultRowHeight="26.25" customHeight="1"/>
  <cols>
    <col min="1" max="1" width="19.5" style="100" customWidth="1"/>
    <col min="2" max="2" width="24.5" style="109" customWidth="1"/>
    <col min="3" max="3" width="16.375" style="100" bestFit="1" customWidth="1"/>
    <col min="4" max="4" width="11.5" style="100"/>
    <col min="5" max="5" width="16.375" style="100" bestFit="1" customWidth="1"/>
    <col min="6" max="6" width="18" style="100" customWidth="1"/>
    <col min="7" max="16384" width="11.5" style="100"/>
  </cols>
  <sheetData>
    <row r="1" spans="1:6" ht="26.25" customHeight="1">
      <c r="A1" s="101" t="s">
        <v>41</v>
      </c>
      <c r="B1" s="105" t="s">
        <v>72</v>
      </c>
    </row>
    <row r="2" spans="1:6" ht="26.25" customHeight="1">
      <c r="A2" s="102" t="s">
        <v>70</v>
      </c>
      <c r="B2" s="106">
        <v>80364900</v>
      </c>
    </row>
    <row r="3" spans="1:6" ht="26.25" customHeight="1">
      <c r="A3" s="103" t="s">
        <v>32</v>
      </c>
      <c r="B3" s="107">
        <v>85600500</v>
      </c>
    </row>
    <row r="4" spans="1:6" ht="26.25" customHeight="1">
      <c r="A4" s="103" t="s">
        <v>43</v>
      </c>
      <c r="B4" s="107">
        <v>24628700</v>
      </c>
    </row>
    <row r="5" spans="1:6" ht="26.25" customHeight="1">
      <c r="A5" s="103" t="s">
        <v>71</v>
      </c>
      <c r="B5" s="107">
        <v>5362500</v>
      </c>
    </row>
    <row r="6" spans="1:6" ht="26.25" customHeight="1">
      <c r="A6" s="104" t="s">
        <v>33</v>
      </c>
      <c r="B6" s="108">
        <v>102968800</v>
      </c>
    </row>
    <row r="7" spans="1:6" ht="26.25" customHeight="1">
      <c r="A7" s="101" t="s">
        <v>27</v>
      </c>
      <c r="B7" s="110">
        <f>SUM(B2:B6)</f>
        <v>298925400</v>
      </c>
    </row>
    <row r="9" spans="1:6" ht="26.25" customHeight="1">
      <c r="E9" s="109"/>
      <c r="F9" s="109"/>
    </row>
    <row r="10" spans="1:6" ht="26.25" customHeight="1">
      <c r="A10" s="112">
        <f>+B7*33.14/100</f>
        <v>99063877.560000002</v>
      </c>
      <c r="C10" s="111"/>
      <c r="E10" s="109"/>
      <c r="F10" s="109"/>
    </row>
    <row r="11" spans="1:6" ht="26.25" customHeight="1">
      <c r="A11" s="112">
        <f>+B7*22.88/100</f>
        <v>68394131.519999996</v>
      </c>
      <c r="C11" s="111"/>
      <c r="F11" s="109"/>
    </row>
    <row r="12" spans="1:6" ht="26.25" customHeight="1">
      <c r="A12" s="112">
        <f>+B7*24.16/100</f>
        <v>72220376.640000001</v>
      </c>
      <c r="C12" s="111"/>
      <c r="F12" s="109"/>
    </row>
    <row r="13" spans="1:6" ht="26.25" customHeight="1">
      <c r="A13" s="112">
        <f>+B7*19.82/100</f>
        <v>59247014.280000001</v>
      </c>
      <c r="F13" s="109"/>
    </row>
    <row r="14" spans="1:6" ht="26.25" customHeight="1">
      <c r="A14" s="113">
        <f>SUM(A10:A13)</f>
        <v>298925400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2</vt:i4>
      </vt:variant>
    </vt:vector>
  </HeadingPairs>
  <TitlesOfParts>
    <vt:vector size="13" baseType="lpstr">
      <vt:lpstr>Sheet1</vt:lpstr>
      <vt:lpstr>ค่าใช้จ่ายบุคคลากรภาครัฐ</vt:lpstr>
      <vt:lpstr>ภาพรวมผลผลิตที่1</vt:lpstr>
      <vt:lpstr>ภาพรวมผลผลิตที่2</vt:lpstr>
      <vt:lpstr>ภาพรวมผลผลิตที่3</vt:lpstr>
      <vt:lpstr>ภาพรวมโครงการ</vt:lpstr>
      <vt:lpstr>ภาพรวม</vt:lpstr>
      <vt:lpstr>ผลการเบิกจ่าย</vt:lpstr>
      <vt:lpstr>Sheet2</vt:lpstr>
      <vt:lpstr>Sheet3</vt:lpstr>
      <vt:lpstr>ผลการใช้จ่าย กนม.</vt:lpstr>
      <vt:lpstr>ผลการเบิกจ่าย!Print_Area</vt:lpstr>
      <vt:lpstr>ภาพรวม!Print_Area</vt:lpstr>
    </vt:vector>
  </TitlesOfParts>
  <Company>123456789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123456789</dc:creator>
  <cp:lastModifiedBy>97G8F2S</cp:lastModifiedBy>
  <cp:lastPrinted>2017-04-12T06:35:58Z</cp:lastPrinted>
  <dcterms:created xsi:type="dcterms:W3CDTF">2012-10-24T13:34:27Z</dcterms:created>
  <dcterms:modified xsi:type="dcterms:W3CDTF">2017-07-05T09:32:38Z</dcterms:modified>
</cp:coreProperties>
</file>