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 tabRatio="907" firstSheet="1" activeTab="7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25725"/>
</workbook>
</file>

<file path=xl/calcChain.xml><?xml version="1.0" encoding="utf-8"?>
<calcChain xmlns="http://schemas.openxmlformats.org/spreadsheetml/2006/main">
  <c r="O2" i="13"/>
  <c r="I2"/>
  <c r="I15"/>
  <c r="I13"/>
  <c r="I11"/>
  <c r="I6"/>
  <c r="I3"/>
  <c r="I17" i="25"/>
  <c r="I4"/>
  <c r="I5"/>
  <c r="I14"/>
  <c r="I12"/>
  <c r="I6"/>
  <c r="I13"/>
  <c r="I15"/>
  <c r="O8"/>
  <c r="I8"/>
  <c r="I7"/>
  <c r="I3" i="17"/>
  <c r="I9"/>
  <c r="I9" i="14"/>
  <c r="H13" i="25"/>
  <c r="H8"/>
  <c r="H7"/>
  <c r="H6"/>
  <c r="H17"/>
  <c r="H13" i="18"/>
  <c r="H13" i="17"/>
  <c r="H13" i="14"/>
  <c r="H9"/>
  <c r="D17" i="36"/>
  <c r="D15"/>
  <c r="D8"/>
  <c r="D13"/>
  <c r="D4" s="1"/>
  <c r="B4"/>
  <c r="E19" l="1"/>
  <c r="C19"/>
  <c r="E18"/>
  <c r="C18"/>
  <c r="E16"/>
  <c r="C15"/>
  <c r="C14"/>
  <c r="C13" s="1"/>
  <c r="E13" s="1"/>
  <c r="C10"/>
  <c r="C9"/>
  <c r="E7"/>
  <c r="E6"/>
  <c r="C6"/>
  <c r="C5" s="1"/>
  <c r="F13" i="35"/>
  <c r="F9"/>
  <c r="F7" s="1"/>
  <c r="F3" s="1"/>
  <c r="M6" s="1"/>
  <c r="F12"/>
  <c r="F8"/>
  <c r="E35"/>
  <c r="E34"/>
  <c r="K18"/>
  <c r="J18"/>
  <c r="I18"/>
  <c r="H18"/>
  <c r="G18"/>
  <c r="F18"/>
  <c r="E18"/>
  <c r="D18"/>
  <c r="C18"/>
  <c r="B18"/>
  <c r="K17"/>
  <c r="K16" s="1"/>
  <c r="J17"/>
  <c r="I17"/>
  <c r="H17"/>
  <c r="H16" s="1"/>
  <c r="G17"/>
  <c r="F17"/>
  <c r="E17"/>
  <c r="D17"/>
  <c r="D16" s="1"/>
  <c r="C17"/>
  <c r="B17"/>
  <c r="J16"/>
  <c r="I16"/>
  <c r="G16"/>
  <c r="F16"/>
  <c r="E16"/>
  <c r="C16"/>
  <c r="B16"/>
  <c r="K15"/>
  <c r="K14" s="1"/>
  <c r="J15"/>
  <c r="I15"/>
  <c r="H15"/>
  <c r="H14" s="1"/>
  <c r="G15"/>
  <c r="G14" s="1"/>
  <c r="E15"/>
  <c r="D15"/>
  <c r="C15"/>
  <c r="B15"/>
  <c r="J14"/>
  <c r="I14"/>
  <c r="F14"/>
  <c r="E14"/>
  <c r="D14"/>
  <c r="C14"/>
  <c r="B14"/>
  <c r="K12"/>
  <c r="H12"/>
  <c r="G12"/>
  <c r="E13"/>
  <c r="D13"/>
  <c r="D12" s="1"/>
  <c r="C13"/>
  <c r="C12" s="1"/>
  <c r="B13"/>
  <c r="J12"/>
  <c r="I12"/>
  <c r="E12"/>
  <c r="B12"/>
  <c r="D11"/>
  <c r="C11"/>
  <c r="B11"/>
  <c r="J7"/>
  <c r="J3" s="1"/>
  <c r="I7"/>
  <c r="I3" s="1"/>
  <c r="E7"/>
  <c r="B7"/>
  <c r="B3" s="1"/>
  <c r="K7"/>
  <c r="H7"/>
  <c r="G7"/>
  <c r="D7"/>
  <c r="C7"/>
  <c r="K6"/>
  <c r="J6"/>
  <c r="I6"/>
  <c r="H6"/>
  <c r="G6"/>
  <c r="D6"/>
  <c r="C6"/>
  <c r="B6"/>
  <c r="K5"/>
  <c r="K4" s="1"/>
  <c r="J5"/>
  <c r="I5"/>
  <c r="H5"/>
  <c r="H4" s="1"/>
  <c r="G5"/>
  <c r="G4" s="1"/>
  <c r="F5"/>
  <c r="D5"/>
  <c r="D4" s="1"/>
  <c r="C5"/>
  <c r="C4" s="1"/>
  <c r="B5"/>
  <c r="J4"/>
  <c r="I4"/>
  <c r="F4"/>
  <c r="E4"/>
  <c r="B4"/>
  <c r="C17" i="36" l="1"/>
  <c r="C8"/>
  <c r="E8" s="1"/>
  <c r="E15"/>
  <c r="E5"/>
  <c r="D3" i="35"/>
  <c r="E3"/>
  <c r="H3"/>
  <c r="C3"/>
  <c r="G3"/>
  <c r="K3"/>
  <c r="C4" i="36" l="1"/>
  <c r="E4" s="1"/>
  <c r="L3" i="35"/>
  <c r="G14" i="13" l="1"/>
  <c r="H14"/>
  <c r="I14"/>
  <c r="J14"/>
  <c r="K14"/>
  <c r="L14"/>
  <c r="M14"/>
  <c r="G5"/>
  <c r="G4"/>
  <c r="G13" i="25"/>
  <c r="G8"/>
  <c r="G7"/>
  <c r="G6"/>
  <c r="G5" s="1"/>
  <c r="G13" i="18"/>
  <c r="G13" i="17"/>
  <c r="G7" i="14"/>
  <c r="G13"/>
  <c r="G9"/>
  <c r="A13" i="34"/>
  <c r="A12"/>
  <c r="A11"/>
  <c r="A10"/>
  <c r="B7"/>
  <c r="G7" i="13" l="1"/>
  <c r="G3"/>
  <c r="A14" i="34"/>
  <c r="C27" i="13" l="1"/>
  <c r="F14"/>
  <c r="F13" s="1"/>
  <c r="F13" i="25"/>
  <c r="F8"/>
  <c r="F7"/>
  <c r="F6"/>
  <c r="F13" i="18"/>
  <c r="F13" i="17"/>
  <c r="F13" i="14"/>
  <c r="F9"/>
  <c r="D14" i="13"/>
  <c r="E14"/>
  <c r="D16"/>
  <c r="E16"/>
  <c r="D12"/>
  <c r="D11" s="1"/>
  <c r="D8"/>
  <c r="E8"/>
  <c r="D10"/>
  <c r="E10"/>
  <c r="E4"/>
  <c r="E5" i="25"/>
  <c r="E13"/>
  <c r="E12" i="13" s="1"/>
  <c r="E11" s="1"/>
  <c r="E6" i="25"/>
  <c r="E7" i="13" s="1"/>
  <c r="D13" i="25"/>
  <c r="E8"/>
  <c r="E9" i="13" s="1"/>
  <c r="D8" i="25"/>
  <c r="D9" i="13" s="1"/>
  <c r="E7" i="25"/>
  <c r="D7"/>
  <c r="D6"/>
  <c r="D5" s="1"/>
  <c r="D3" i="18"/>
  <c r="D13"/>
  <c r="E13"/>
  <c r="E7"/>
  <c r="E4" i="25" l="1"/>
  <c r="N4" s="1"/>
  <c r="D7" i="13"/>
  <c r="D6" s="1"/>
  <c r="E6"/>
  <c r="D3" i="17"/>
  <c r="E13"/>
  <c r="D13"/>
  <c r="E9"/>
  <c r="D9"/>
  <c r="D3" i="14"/>
  <c r="D12"/>
  <c r="E12"/>
  <c r="D7"/>
  <c r="E7"/>
  <c r="E16"/>
  <c r="D16"/>
  <c r="E14"/>
  <c r="E3" s="1"/>
  <c r="D14"/>
  <c r="E13"/>
  <c r="D13"/>
  <c r="E9"/>
  <c r="D9"/>
  <c r="C12" i="13"/>
  <c r="C11" s="1"/>
  <c r="F12"/>
  <c r="F11" s="1"/>
  <c r="G12"/>
  <c r="G11" s="1"/>
  <c r="H12"/>
  <c r="H11" s="1"/>
  <c r="I12"/>
  <c r="J12"/>
  <c r="J11" s="1"/>
  <c r="K12"/>
  <c r="K11" s="1"/>
  <c r="L12"/>
  <c r="L11" s="1"/>
  <c r="M12"/>
  <c r="M11" s="1"/>
  <c r="C14"/>
  <c r="C13" s="1"/>
  <c r="D13"/>
  <c r="E13"/>
  <c r="G13"/>
  <c r="H13"/>
  <c r="J13"/>
  <c r="K13"/>
  <c r="L13"/>
  <c r="M13"/>
  <c r="C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F7"/>
  <c r="H7"/>
  <c r="I7"/>
  <c r="J7"/>
  <c r="K7"/>
  <c r="L7"/>
  <c r="M7"/>
  <c r="F8"/>
  <c r="G8"/>
  <c r="H8"/>
  <c r="I8"/>
  <c r="J8"/>
  <c r="K8"/>
  <c r="L8"/>
  <c r="M8"/>
  <c r="C9"/>
  <c r="F9"/>
  <c r="G9"/>
  <c r="H9"/>
  <c r="I9"/>
  <c r="J9"/>
  <c r="K9"/>
  <c r="L9"/>
  <c r="M9"/>
  <c r="C10"/>
  <c r="F10"/>
  <c r="G10"/>
  <c r="H10"/>
  <c r="I10"/>
  <c r="J10"/>
  <c r="K10"/>
  <c r="L10"/>
  <c r="M10"/>
  <c r="C4"/>
  <c r="D4"/>
  <c r="F4"/>
  <c r="H4"/>
  <c r="I4"/>
  <c r="J4"/>
  <c r="K4"/>
  <c r="L4"/>
  <c r="M4"/>
  <c r="C5"/>
  <c r="D5"/>
  <c r="E5"/>
  <c r="E3" s="1"/>
  <c r="F5"/>
  <c r="H5"/>
  <c r="I5"/>
  <c r="J5"/>
  <c r="K5"/>
  <c r="K3" s="1"/>
  <c r="L5"/>
  <c r="M5"/>
  <c r="C13" i="25"/>
  <c r="C7"/>
  <c r="C5" s="1"/>
  <c r="C4" s="1"/>
  <c r="C6"/>
  <c r="C7" i="13" s="1"/>
  <c r="C13" i="18"/>
  <c r="C13" i="17"/>
  <c r="C13" i="14"/>
  <c r="C9"/>
  <c r="C16"/>
  <c r="F16"/>
  <c r="G16"/>
  <c r="H16"/>
  <c r="I16"/>
  <c r="J16"/>
  <c r="K16"/>
  <c r="L16"/>
  <c r="M16"/>
  <c r="B16"/>
  <c r="C14"/>
  <c r="F14"/>
  <c r="G14"/>
  <c r="H14"/>
  <c r="I14"/>
  <c r="J14"/>
  <c r="K14"/>
  <c r="L14"/>
  <c r="M14"/>
  <c r="B14"/>
  <c r="C12"/>
  <c r="F12"/>
  <c r="G12"/>
  <c r="H12"/>
  <c r="I12"/>
  <c r="J12"/>
  <c r="K12"/>
  <c r="L12"/>
  <c r="M12"/>
  <c r="M3" s="1"/>
  <c r="C7"/>
  <c r="F7"/>
  <c r="H7"/>
  <c r="I7"/>
  <c r="J7"/>
  <c r="K7"/>
  <c r="L7"/>
  <c r="M7"/>
  <c r="B7"/>
  <c r="M4"/>
  <c r="L4"/>
  <c r="K4"/>
  <c r="J4"/>
  <c r="I4"/>
  <c r="H4"/>
  <c r="G4"/>
  <c r="F4"/>
  <c r="E4"/>
  <c r="D4"/>
  <c r="C4"/>
  <c r="B4"/>
  <c r="C3"/>
  <c r="K3"/>
  <c r="B3"/>
  <c r="C16" i="33"/>
  <c r="D16"/>
  <c r="E16"/>
  <c r="F16"/>
  <c r="G16"/>
  <c r="H16"/>
  <c r="I16"/>
  <c r="J16"/>
  <c r="K16"/>
  <c r="L16"/>
  <c r="M16"/>
  <c r="B16"/>
  <c r="C14"/>
  <c r="D14"/>
  <c r="E14"/>
  <c r="F14"/>
  <c r="G14"/>
  <c r="H14"/>
  <c r="I14"/>
  <c r="J14"/>
  <c r="K14"/>
  <c r="L14"/>
  <c r="M14"/>
  <c r="M3" s="1"/>
  <c r="B14"/>
  <c r="C12"/>
  <c r="D12"/>
  <c r="E12"/>
  <c r="F12"/>
  <c r="G12"/>
  <c r="H12"/>
  <c r="I12"/>
  <c r="J12"/>
  <c r="J3" s="1"/>
  <c r="K12"/>
  <c r="L12"/>
  <c r="M12"/>
  <c r="B12"/>
  <c r="C7"/>
  <c r="C3" s="1"/>
  <c r="D7"/>
  <c r="E7"/>
  <c r="F7"/>
  <c r="G7"/>
  <c r="H7"/>
  <c r="I7"/>
  <c r="J7"/>
  <c r="K7"/>
  <c r="L7"/>
  <c r="L3" s="1"/>
  <c r="M7"/>
  <c r="C4"/>
  <c r="K3"/>
  <c r="D4"/>
  <c r="E4"/>
  <c r="F4"/>
  <c r="G4"/>
  <c r="G3" s="1"/>
  <c r="H4"/>
  <c r="I4"/>
  <c r="J4"/>
  <c r="K4"/>
  <c r="L4"/>
  <c r="M4"/>
  <c r="B16" i="13"/>
  <c r="B14"/>
  <c r="B13" s="1"/>
  <c r="B12"/>
  <c r="B11" s="1"/>
  <c r="B9"/>
  <c r="B10"/>
  <c r="B7"/>
  <c r="B5"/>
  <c r="B4"/>
  <c r="B13" i="25"/>
  <c r="B7"/>
  <c r="B8" i="13" s="1"/>
  <c r="B6" i="25"/>
  <c r="B5" s="1"/>
  <c r="B4" s="1"/>
  <c r="B7" i="33"/>
  <c r="B4"/>
  <c r="H4" i="23"/>
  <c r="H5"/>
  <c r="B17" i="13"/>
  <c r="H14" i="25"/>
  <c r="G14"/>
  <c r="F14"/>
  <c r="E14"/>
  <c r="D14"/>
  <c r="C14"/>
  <c r="B14"/>
  <c r="H12"/>
  <c r="G12"/>
  <c r="F12"/>
  <c r="E12"/>
  <c r="D12"/>
  <c r="C12"/>
  <c r="B12"/>
  <c r="I10"/>
  <c r="H10"/>
  <c r="G10"/>
  <c r="G4" s="1"/>
  <c r="F10"/>
  <c r="E10"/>
  <c r="D10"/>
  <c r="D4" s="1"/>
  <c r="C10"/>
  <c r="B10"/>
  <c r="H5"/>
  <c r="H4" s="1"/>
  <c r="F5"/>
  <c r="B7" i="18"/>
  <c r="B4"/>
  <c r="H16"/>
  <c r="G16"/>
  <c r="F16"/>
  <c r="E16"/>
  <c r="D16"/>
  <c r="C16"/>
  <c r="B16"/>
  <c r="H14"/>
  <c r="G14"/>
  <c r="F14"/>
  <c r="E14"/>
  <c r="D14"/>
  <c r="C14"/>
  <c r="B14"/>
  <c r="H12"/>
  <c r="H3" s="1"/>
  <c r="G12"/>
  <c r="G3" s="1"/>
  <c r="F12"/>
  <c r="E12"/>
  <c r="E3" s="1"/>
  <c r="D12"/>
  <c r="C12"/>
  <c r="B12"/>
  <c r="H7"/>
  <c r="G7"/>
  <c r="F7"/>
  <c r="D7"/>
  <c r="C7"/>
  <c r="H4"/>
  <c r="G4"/>
  <c r="F4"/>
  <c r="E4"/>
  <c r="D4"/>
  <c r="C4"/>
  <c r="M4"/>
  <c r="L4"/>
  <c r="K4"/>
  <c r="J4"/>
  <c r="I4"/>
  <c r="C4" i="17"/>
  <c r="D4"/>
  <c r="E4"/>
  <c r="C7"/>
  <c r="D7"/>
  <c r="E7"/>
  <c r="D12"/>
  <c r="C12"/>
  <c r="E12"/>
  <c r="C14"/>
  <c r="D14"/>
  <c r="E14"/>
  <c r="C16"/>
  <c r="D16"/>
  <c r="E16"/>
  <c r="B16"/>
  <c r="B14"/>
  <c r="B12"/>
  <c r="B7"/>
  <c r="B4"/>
  <c r="M5" i="25"/>
  <c r="I3" i="33" l="1"/>
  <c r="I3" i="14"/>
  <c r="C8" i="13"/>
  <c r="H3" i="33"/>
  <c r="C3" i="13"/>
  <c r="J3"/>
  <c r="F3"/>
  <c r="F15"/>
  <c r="G6"/>
  <c r="G3" i="14"/>
  <c r="D3" i="13"/>
  <c r="J6"/>
  <c r="F6"/>
  <c r="L3"/>
  <c r="H3"/>
  <c r="F4" i="25"/>
  <c r="F3" i="33"/>
  <c r="F3" i="18"/>
  <c r="M6" i="13"/>
  <c r="M15"/>
  <c r="L6"/>
  <c r="H6"/>
  <c r="M3"/>
  <c r="D3" i="33"/>
  <c r="E3" i="17"/>
  <c r="E15" i="13"/>
  <c r="E2" s="1"/>
  <c r="E3" i="33"/>
  <c r="K15" i="13"/>
  <c r="G15"/>
  <c r="C15"/>
  <c r="K6"/>
  <c r="C6"/>
  <c r="L15"/>
  <c r="H15"/>
  <c r="D15"/>
  <c r="D2" s="1"/>
  <c r="J15"/>
  <c r="C3" i="18"/>
  <c r="H3" i="14"/>
  <c r="L3"/>
  <c r="F3"/>
  <c r="J3"/>
  <c r="B15" i="13"/>
  <c r="B3"/>
  <c r="B3" i="33"/>
  <c r="B3" i="18"/>
  <c r="B6" i="13"/>
  <c r="C3" i="17"/>
  <c r="B3"/>
  <c r="M16" i="18"/>
  <c r="M7"/>
  <c r="K5" i="25"/>
  <c r="K14"/>
  <c r="K12"/>
  <c r="K7" i="17"/>
  <c r="G2" i="13" l="1"/>
  <c r="H2"/>
  <c r="C2"/>
  <c r="J2"/>
  <c r="K2"/>
  <c r="L2"/>
  <c r="F2"/>
  <c r="M2"/>
  <c r="B2"/>
  <c r="J5" i="25"/>
  <c r="J12"/>
  <c r="J7" i="18"/>
  <c r="J12" i="17"/>
  <c r="J7"/>
  <c r="J4"/>
  <c r="I4"/>
  <c r="I7"/>
  <c r="G16"/>
  <c r="H16"/>
  <c r="I16"/>
  <c r="J16"/>
  <c r="K16"/>
  <c r="L16"/>
  <c r="M16"/>
  <c r="F14"/>
  <c r="G14"/>
  <c r="H14"/>
  <c r="I14"/>
  <c r="J14"/>
  <c r="K14"/>
  <c r="L14"/>
  <c r="M14"/>
  <c r="H7"/>
  <c r="J3" l="1"/>
  <c r="J14" i="25"/>
  <c r="H6" i="23" l="1"/>
  <c r="L5" i="25"/>
  <c r="J10"/>
  <c r="J4" s="1"/>
  <c r="K10"/>
  <c r="K4" s="1"/>
  <c r="L10"/>
  <c r="M10"/>
  <c r="L12"/>
  <c r="M12"/>
  <c r="L14"/>
  <c r="M14"/>
  <c r="I16" i="18"/>
  <c r="J16"/>
  <c r="K16"/>
  <c r="L16"/>
  <c r="I14"/>
  <c r="J14"/>
  <c r="K14"/>
  <c r="L14"/>
  <c r="M14"/>
  <c r="I12"/>
  <c r="J12"/>
  <c r="J3" s="1"/>
  <c r="K12"/>
  <c r="L12"/>
  <c r="M12"/>
  <c r="M3" s="1"/>
  <c r="I7"/>
  <c r="K7"/>
  <c r="L7"/>
  <c r="L3" s="1"/>
  <c r="G12" i="17"/>
  <c r="H12"/>
  <c r="H3" s="1"/>
  <c r="I12"/>
  <c r="K12"/>
  <c r="L12"/>
  <c r="M12"/>
  <c r="H4"/>
  <c r="K4"/>
  <c r="L4"/>
  <c r="M4"/>
  <c r="M7"/>
  <c r="G7"/>
  <c r="L7"/>
  <c r="G4"/>
  <c r="F16"/>
  <c r="F12"/>
  <c r="F7"/>
  <c r="F4"/>
  <c r="M4" i="25" l="1"/>
  <c r="K3" i="18"/>
  <c r="I3"/>
  <c r="F3" i="17"/>
  <c r="M3"/>
  <c r="L3"/>
  <c r="K3"/>
  <c r="L4" i="25"/>
  <c r="G3" i="17"/>
  <c r="G6" i="23" l="1"/>
  <c r="F6"/>
  <c r="E6"/>
  <c r="D6"/>
  <c r="C6"/>
  <c r="B12" i="14"/>
  <c r="B13" i="12"/>
  <c r="B12" s="1"/>
  <c r="B35"/>
  <c r="B34" s="1"/>
  <c r="B31"/>
  <c r="B30"/>
  <c r="B28"/>
  <c r="B24"/>
  <c r="B23" s="1"/>
  <c r="B19"/>
  <c r="B17"/>
  <c r="B16"/>
  <c r="B10"/>
  <c r="B11"/>
  <c r="B9"/>
  <c r="B8"/>
  <c r="B7" s="1"/>
  <c r="B6"/>
  <c r="B5"/>
  <c r="B20" l="1"/>
  <c r="B27"/>
  <c r="B26" s="1"/>
  <c r="B32"/>
  <c r="B33"/>
  <c r="B21"/>
  <c r="B4"/>
  <c r="B3" s="1"/>
  <c r="B2" s="1"/>
  <c r="B15"/>
  <c r="B18" l="1"/>
  <c r="B14" s="1"/>
  <c r="B29"/>
  <c r="B25" s="1"/>
</calcChain>
</file>

<file path=xl/sharedStrings.xml><?xml version="1.0" encoding="utf-8"?>
<sst xmlns="http://schemas.openxmlformats.org/spreadsheetml/2006/main" count="292" uniqueCount="91">
  <si>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</si>
  <si>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</si>
  <si>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</si>
  <si>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</si>
  <si>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</si>
  <si>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</si>
  <si>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</si>
  <si>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</si>
  <si>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</si>
  <si>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</si>
  <si>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</si>
  <si>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</si>
  <si>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</si>
  <si>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</si>
  <si>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</si>
  <si>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</si>
  <si>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</si>
  <si>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</si>
  <si>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</si>
  <si>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</si>
  <si>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</si>
  <si>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</si>
  <si>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</si>
  <si>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</si>
  <si>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</si>
  <si>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</si>
  <si>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</si>
  <si>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</si>
  <si>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</si>
  <si>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</si>
  <si>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</si>
  <si>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</si>
  <si>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</si>
  <si>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</si>
  <si>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</si>
  <si>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</si>
  <si>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</si>
  <si>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</si>
  <si>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</si>
  <si>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</si>
  <si>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</si>
  <si>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</si>
  <si>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</si>
  <si>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</si>
  <si>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</si>
  <si>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</si>
  <si>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</si>
  <si>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</si>
  <si>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</si>
  <si>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</si>
  <si>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</si>
  <si>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</si>
  <si>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</si>
  <si>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</si>
  <si>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</si>
  <si>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</si>
  <si>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</si>
  <si>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ต.ค 59</t>
  </si>
  <si>
    <t>พ.ย 59</t>
  </si>
  <si>
    <t>ธ.ค 59</t>
  </si>
  <si>
    <t>ม.ค 60</t>
  </si>
  <si>
    <t>ก.พ 60</t>
  </si>
  <si>
    <t>มี.ค 60</t>
  </si>
  <si>
    <t>เม.ย 60</t>
  </si>
  <si>
    <t>พ.ค 60</t>
  </si>
  <si>
    <t>มิ.ย 60</t>
  </si>
  <si>
    <t>ก.ค 60</t>
  </si>
  <si>
    <t>ส.ค 60</t>
  </si>
  <si>
    <t>ก.ย 60</t>
  </si>
  <si>
    <t>ผลการเบิกจ่ายงบประมาณประจำปี พ.ศ.2560 แยกงบประมาณ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</si>
  <si>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</si>
  <si>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</si>
  <si>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</si>
  <si>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</si>
  <si>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</si>
  <si>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</si>
  <si>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</si>
  <si>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</si>
  <si>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</si>
  <si>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</si>
  <si>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</si>
  <si>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</si>
  <si>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</si>
  <si>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</si>
  <si>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</si>
  <si>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</si>
  <si>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</si>
  <si>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</si>
  <si>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</si>
  <si>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มีค 2560</t>
  </si>
  <si>
    <t>ณ 3 พ.ค. 2560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</si>
</sst>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</numFmts>
  <fonts count="12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189" fontId="3" fillId="0" borderId="0" xfId="1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2" fontId="3" fillId="0" borderId="0" xfId="0" applyNumberFormat="1" applyFont="1" applyFill="1"/>
    <xf numFmtId="43" fontId="3" fillId="0" borderId="0" xfId="1" applyNumberFormat="1" applyFont="1" applyFill="1"/>
    <xf numFmtId="43" fontId="1" fillId="0" borderId="0" xfId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3" fontId="4" fillId="4" borderId="0" xfId="1" applyFont="1" applyFill="1"/>
    <xf numFmtId="43" fontId="3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563"/>
          <c:h val="0.6272962626880485"/>
        </c:manualLayout>
      </c:layout>
      <c:barChart>
        <c:barDir val="col"/>
        <c:grouping val="clustered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80.364900000000006</c:v>
                </c:pt>
                <c:pt idx="1">
                  <c:v>85.600499999999997</c:v>
                </c:pt>
                <c:pt idx="2">
                  <c:v>24.448699999999999</c:v>
                </c:pt>
                <c:pt idx="3">
                  <c:v>5.3624999999999998</c:v>
                </c:pt>
                <c:pt idx="4">
                  <c:v>102.9688</c:v>
                </c:pt>
                <c:pt idx="5">
                  <c:v>298.74540000000002</c:v>
                </c:pt>
              </c:numCache>
            </c:numRef>
          </c:val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52.705539999999999</c:v>
                </c:pt>
                <c:pt idx="1">
                  <c:v>45.170934000000003</c:v>
                </c:pt>
                <c:pt idx="2">
                  <c:v>3.54745</c:v>
                </c:pt>
                <c:pt idx="3">
                  <c:v>5.3593999999999999</c:v>
                </c:pt>
                <c:pt idx="4">
                  <c:v>31.880519</c:v>
                </c:pt>
                <c:pt idx="5">
                  <c:v>138.66384299999999</c:v>
                </c:pt>
              </c:numCache>
            </c:numRef>
          </c:val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0.65582785519548947</c:v>
                </c:pt>
                <c:pt idx="1">
                  <c:v>0.52769474477368716</c:v>
                </c:pt>
                <c:pt idx="2">
                  <c:v>0.14509769435593714</c:v>
                </c:pt>
                <c:pt idx="3">
                  <c:v>0.99942191142191139</c:v>
                </c:pt>
                <c:pt idx="4">
                  <c:v>0.3096133877446372</c:v>
                </c:pt>
                <c:pt idx="5">
                  <c:v>0.46415390161656039</c:v>
                </c:pt>
              </c:numCache>
            </c:numRef>
          </c:val>
        </c:ser>
        <c:axId val="100382592"/>
        <c:axId val="100384128"/>
      </c:barChart>
      <c:catAx>
        <c:axId val="1003825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100384128"/>
        <c:crosses val="autoZero"/>
        <c:auto val="1"/>
        <c:lblAlgn val="ctr"/>
        <c:lblOffset val="100"/>
      </c:catAx>
      <c:valAx>
        <c:axId val="100384128"/>
        <c:scaling>
          <c:orientation val="minMax"/>
        </c:scaling>
        <c:axPos val="l"/>
        <c:majorGridlines/>
        <c:numFmt formatCode="#,##0.00_ ;\-#,##0.00\ 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1003825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/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/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n%202557/plan/2558/gf/&#3605;&#3588;.5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/>
      <sheetData sheetId="1"/>
      <sheetData sheetId="2"/>
      <sheetData sheetId="3">
        <row r="22">
          <cell r="B2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RowHeight="23.25"/>
  <cols>
    <col min="1" max="1" width="23.75" style="1" bestFit="1" customWidth="1"/>
    <col min="2" max="2" width="13.5" style="1" customWidth="1"/>
    <col min="3" max="16384" width="9" style="1"/>
  </cols>
  <sheetData>
    <row r="1" spans="1:13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25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V67"/>
  <sheetViews>
    <sheetView workbookViewId="0">
      <selection activeCell="F13" sqref="F13"/>
    </sheetView>
  </sheetViews>
  <sheetFormatPr defaultRowHeight="23.25"/>
  <cols>
    <col min="1" max="1" width="23.75" style="1" bestFit="1" customWidth="1"/>
    <col min="2" max="2" width="11.375" style="1" hidden="1" customWidth="1"/>
    <col min="3" max="3" width="11.125" style="1" hidden="1" customWidth="1"/>
    <col min="4" max="4" width="12.25" style="1" hidden="1" customWidth="1"/>
    <col min="5" max="5" width="12.375" style="1" hidden="1" customWidth="1"/>
    <col min="6" max="6" width="13.125" style="1" customWidth="1"/>
    <col min="7" max="7" width="12" style="1" customWidth="1"/>
    <col min="8" max="8" width="12.5" style="1" bestFit="1" customWidth="1"/>
    <col min="9" max="9" width="13.5" style="1" customWidth="1"/>
    <col min="10" max="10" width="12.875" style="1" customWidth="1"/>
    <col min="11" max="11" width="14.875" style="1" customWidth="1"/>
    <col min="12" max="13" width="13.25" style="1" bestFit="1" customWidth="1"/>
    <col min="14" max="14" width="12" style="1" bestFit="1" customWidth="1"/>
    <col min="15" max="16384" width="9" style="1"/>
  </cols>
  <sheetData>
    <row r="1" spans="1:22" ht="25.5" customHeight="1">
      <c r="A1" s="156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8" customFormat="1" ht="17.25" customHeight="1">
      <c r="A2" s="157"/>
      <c r="B2" s="7" t="s">
        <v>73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H2" s="7" t="s">
        <v>79</v>
      </c>
      <c r="I2" s="7" t="s">
        <v>80</v>
      </c>
      <c r="J2" s="7" t="s">
        <v>81</v>
      </c>
      <c r="K2" s="7" t="s">
        <v>82</v>
      </c>
    </row>
    <row r="3" spans="1:22" s="121" customFormat="1">
      <c r="A3" s="8" t="s">
        <v>27</v>
      </c>
      <c r="B3" s="119">
        <f t="shared" ref="B3:K3" si="0">SUM(B4,B7,B12,B14,B16)</f>
        <v>0</v>
      </c>
      <c r="C3" s="119">
        <f t="shared" si="0"/>
        <v>0</v>
      </c>
      <c r="D3" s="119">
        <f t="shared" si="0"/>
        <v>0</v>
      </c>
      <c r="E3" s="119">
        <f t="shared" si="0"/>
        <v>0</v>
      </c>
      <c r="F3" s="119">
        <f>SUM(F4,F7,F12,F14,F16)</f>
        <v>14287366.299999999</v>
      </c>
      <c r="G3" s="119">
        <f t="shared" si="0"/>
        <v>0</v>
      </c>
      <c r="H3" s="119">
        <f t="shared" si="0"/>
        <v>0</v>
      </c>
      <c r="I3" s="119">
        <f t="shared" si="0"/>
        <v>0</v>
      </c>
      <c r="J3" s="119">
        <f t="shared" si="0"/>
        <v>0</v>
      </c>
      <c r="K3" s="119">
        <f t="shared" si="0"/>
        <v>0</v>
      </c>
      <c r="L3" s="120">
        <f>SUM(B3:K3)</f>
        <v>14287366.299999999</v>
      </c>
      <c r="N3" s="49"/>
    </row>
    <row r="4" spans="1:22" s="20" customFormat="1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4" customFormat="1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22"/>
      <c r="M12" s="123"/>
      <c r="N12" s="123"/>
      <c r="O12" s="123"/>
      <c r="P12" s="123"/>
      <c r="Q12" s="123"/>
      <c r="R12" s="123"/>
      <c r="S12" s="123"/>
      <c r="T12" s="123"/>
      <c r="U12" s="123"/>
      <c r="V12" s="123"/>
    </row>
    <row r="13" spans="1:22" s="5" customFormat="1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6" customFormat="1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5"/>
    </row>
    <row r="18" spans="1:12" s="126" customFormat="1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5"/>
    </row>
    <row r="19" spans="1:12" s="126" customFormat="1">
      <c r="B19" s="125"/>
      <c r="C19" s="125"/>
      <c r="E19" s="125"/>
      <c r="F19" s="125"/>
      <c r="H19" s="125"/>
      <c r="I19" s="125"/>
      <c r="K19" s="127"/>
    </row>
    <row r="20" spans="1:12" s="126" customFormat="1">
      <c r="B20" s="125"/>
      <c r="E20" s="125"/>
      <c r="G20" s="125"/>
    </row>
    <row r="21" spans="1:12" s="128" customFormat="1">
      <c r="B21" s="129"/>
      <c r="F21" s="129"/>
      <c r="I21" s="129"/>
    </row>
    <row r="22" spans="1:12" s="18" customFormat="1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>
      <c r="F23" s="39"/>
      <c r="H23" s="39"/>
    </row>
    <row r="24" spans="1:12">
      <c r="E24" s="44"/>
    </row>
    <row r="25" spans="1:12" s="18" customFormat="1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>
      <c r="D27" s="39"/>
      <c r="K27" s="39"/>
    </row>
    <row r="28" spans="1:12">
      <c r="D28" s="44"/>
    </row>
    <row r="29" spans="1:12">
      <c r="D29" s="44"/>
      <c r="I29" s="44"/>
    </row>
    <row r="30" spans="1:12" s="4" customFormat="1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>
      <c r="E32" s="39"/>
    </row>
    <row r="34" spans="1:11" s="18" customFormat="1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>
      <c r="E35" s="44">
        <f>+E32+E34</f>
        <v>3094647.14</v>
      </c>
    </row>
    <row r="39" spans="1:11" s="4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H3" sqref="H3"/>
    </sheetView>
  </sheetViews>
  <sheetFormatPr defaultRowHeight="21"/>
  <cols>
    <col min="1" max="1" width="23.75" style="130" bestFit="1" customWidth="1"/>
    <col min="2" max="2" width="13.625" style="131" customWidth="1"/>
    <col min="3" max="5" width="13.625" style="130" customWidth="1"/>
    <col min="6" max="16384" width="9" style="130"/>
  </cols>
  <sheetData>
    <row r="1" spans="1:6">
      <c r="A1" s="158" t="s">
        <v>89</v>
      </c>
      <c r="B1" s="158"/>
      <c r="C1" s="158"/>
      <c r="D1" s="158"/>
      <c r="E1" s="158"/>
    </row>
    <row r="3" spans="1:6" ht="25.5" customHeight="1">
      <c r="A3" s="132" t="s">
        <v>84</v>
      </c>
      <c r="B3" s="133" t="s">
        <v>85</v>
      </c>
      <c r="C3" s="134" t="s">
        <v>86</v>
      </c>
      <c r="D3" s="134" t="s">
        <v>87</v>
      </c>
      <c r="E3" s="134" t="s">
        <v>83</v>
      </c>
    </row>
    <row r="4" spans="1:6" s="138" customFormat="1">
      <c r="A4" s="135" t="s">
        <v>27</v>
      </c>
      <c r="B4" s="136">
        <f>+B8+B13+B15+B17</f>
        <v>36607700</v>
      </c>
      <c r="C4" s="137">
        <f>SUM(C8,C13,C15,C17)</f>
        <v>12694966.299999999</v>
      </c>
      <c r="D4" s="137">
        <f>SUM(D8,D13,D15,D17)</f>
        <v>95690.1</v>
      </c>
      <c r="E4" s="137">
        <f>(C4/B4)*100</f>
        <v>34.678404543306463</v>
      </c>
    </row>
    <row r="5" spans="1:6" s="138" customFormat="1">
      <c r="A5" s="139" t="s">
        <v>15</v>
      </c>
      <c r="B5" s="140">
        <v>0</v>
      </c>
      <c r="C5" s="141">
        <f t="shared" ref="C5:E5" si="0">SUM(C6:C7)</f>
        <v>1592400</v>
      </c>
      <c r="D5" s="141"/>
      <c r="E5" s="141">
        <f t="shared" si="0"/>
        <v>0</v>
      </c>
    </row>
    <row r="6" spans="1:6">
      <c r="A6" s="142" t="s">
        <v>16</v>
      </c>
      <c r="B6" s="143"/>
      <c r="C6" s="144">
        <f>+[1]ผลผลิต1!I133+[1]ผลผลิต2!I133+[1]ผลผลิต3!I133</f>
        <v>0</v>
      </c>
      <c r="D6" s="144"/>
      <c r="E6" s="144">
        <f>+[1]ผลผลิต1!I69+[1]ผลผลิต2!I69+[1]ผลผลิต3!I69</f>
        <v>0</v>
      </c>
    </row>
    <row r="7" spans="1:6">
      <c r="A7" s="145" t="s">
        <v>22</v>
      </c>
      <c r="B7" s="146"/>
      <c r="C7" s="144">
        <v>1592400</v>
      </c>
      <c r="D7" s="144"/>
      <c r="E7" s="144">
        <f>+[1]ผลผลิต1!I70+[1]ผลผลิต2!I70+[1]ผลผลิต3!I70</f>
        <v>0</v>
      </c>
    </row>
    <row r="8" spans="1:6" s="138" customFormat="1">
      <c r="A8" s="139" t="s">
        <v>17</v>
      </c>
      <c r="B8" s="140">
        <v>7250000</v>
      </c>
      <c r="C8" s="141">
        <f>SUM(C9:C12)</f>
        <v>3131164.01</v>
      </c>
      <c r="D8" s="141">
        <f>SUM(D9:D12)</f>
        <v>0</v>
      </c>
      <c r="E8" s="141">
        <f>(C8/B8)*100</f>
        <v>43.188469103448277</v>
      </c>
    </row>
    <row r="9" spans="1:6">
      <c r="A9" s="142" t="s">
        <v>21</v>
      </c>
      <c r="B9" s="143"/>
      <c r="C9" s="144">
        <f>79760+348400</f>
        <v>428160</v>
      </c>
      <c r="D9" s="144"/>
      <c r="E9" s="144"/>
    </row>
    <row r="10" spans="1:6">
      <c r="A10" s="142" t="s">
        <v>18</v>
      </c>
      <c r="B10" s="143"/>
      <c r="C10" s="144">
        <f>1677565.14+18950.3+475192.53+54750+30514.7</f>
        <v>2256972.67</v>
      </c>
      <c r="D10" s="144"/>
      <c r="E10" s="144"/>
    </row>
    <row r="11" spans="1:6">
      <c r="A11" s="142" t="s">
        <v>19</v>
      </c>
      <c r="B11" s="143"/>
      <c r="C11" s="144">
        <v>446031.34</v>
      </c>
      <c r="D11" s="144"/>
      <c r="E11" s="144"/>
    </row>
    <row r="12" spans="1:6">
      <c r="A12" s="142" t="s">
        <v>31</v>
      </c>
      <c r="B12" s="143"/>
      <c r="C12" s="144"/>
      <c r="D12" s="144"/>
      <c r="E12" s="144"/>
    </row>
    <row r="13" spans="1:6" s="138" customFormat="1">
      <c r="A13" s="147" t="s">
        <v>30</v>
      </c>
      <c r="B13" s="141">
        <v>24257700</v>
      </c>
      <c r="C13" s="148">
        <f>SUM(C14)</f>
        <v>4463802.2899999991</v>
      </c>
      <c r="D13" s="148">
        <f>SUM(D14)</f>
        <v>95690.1</v>
      </c>
      <c r="E13" s="141">
        <f>(C13/B13)*100</f>
        <v>18.401589144890075</v>
      </c>
      <c r="F13" s="138" t="s">
        <v>88</v>
      </c>
    </row>
    <row r="14" spans="1:6">
      <c r="A14" s="149" t="s">
        <v>25</v>
      </c>
      <c r="B14" s="150"/>
      <c r="C14" s="144">
        <f>2341201.3+419503.01+194205+239806.44+469086.67+799999.87</f>
        <v>4463802.2899999991</v>
      </c>
      <c r="D14" s="144">
        <v>95690.1</v>
      </c>
      <c r="E14" s="144"/>
    </row>
    <row r="15" spans="1:6" s="138" customFormat="1">
      <c r="A15" s="147" t="s">
        <v>35</v>
      </c>
      <c r="B15" s="141">
        <v>5100000</v>
      </c>
      <c r="C15" s="148">
        <f t="shared" ref="C15:D15" si="1">SUM(C16)</f>
        <v>5100000</v>
      </c>
      <c r="D15" s="148">
        <f t="shared" si="1"/>
        <v>0</v>
      </c>
      <c r="E15" s="141">
        <f>(C15/B15)*100</f>
        <v>100</v>
      </c>
    </row>
    <row r="16" spans="1:6">
      <c r="A16" s="151" t="s">
        <v>37</v>
      </c>
      <c r="B16" s="152"/>
      <c r="C16" s="144">
        <v>5100000</v>
      </c>
      <c r="D16" s="144"/>
      <c r="E16" s="144">
        <f>+[1]ผลผลิต1!B79+[1]ผลผลิต2!B79+[1]ผลผลิต3!B79</f>
        <v>0</v>
      </c>
    </row>
    <row r="17" spans="1:5" s="138" customFormat="1">
      <c r="A17" s="147" t="s">
        <v>39</v>
      </c>
      <c r="B17" s="141">
        <v>0</v>
      </c>
      <c r="C17" s="148">
        <f t="shared" ref="C17:D17" si="2">SUM(C18:C19)</f>
        <v>0</v>
      </c>
      <c r="D17" s="148">
        <f t="shared" si="2"/>
        <v>0</v>
      </c>
      <c r="E17" s="141">
        <v>0</v>
      </c>
    </row>
    <row r="18" spans="1:5">
      <c r="A18" s="151" t="s">
        <v>40</v>
      </c>
      <c r="B18" s="152"/>
      <c r="C18" s="144">
        <f>+[1]ผลผลิต1!B145+[1]ผลผลิต2!B145+[1]ผลผลิต3!B145</f>
        <v>0</v>
      </c>
      <c r="D18" s="144"/>
      <c r="E18" s="144">
        <f>+[1]ผลผลิต1!B81+[1]ผลผลิต2!B81+[1]ผลผลิต3!B81</f>
        <v>0</v>
      </c>
    </row>
    <row r="19" spans="1:5">
      <c r="A19" s="151" t="s">
        <v>38</v>
      </c>
      <c r="B19" s="152"/>
      <c r="C19" s="144">
        <f>+[1]ผลผลิต1!B146+[1]ผลผลิต2!B146+[1]ผลผลิต3!B146</f>
        <v>0</v>
      </c>
      <c r="D19" s="144"/>
      <c r="E19" s="144">
        <f>+[1]ผลผลิต1!B82+[1]ผลผลิต2!B82+[1]ผลผลิต3!B82</f>
        <v>0</v>
      </c>
    </row>
    <row r="20" spans="1:5">
      <c r="C20" s="153"/>
      <c r="D20" s="153"/>
    </row>
    <row r="21" spans="1:5">
      <c r="E21" s="153"/>
    </row>
    <row r="22" spans="1:5">
      <c r="C22" s="153"/>
      <c r="D22" s="153"/>
    </row>
    <row r="24" spans="1:5">
      <c r="C24" s="131"/>
      <c r="D24" s="131"/>
    </row>
    <row r="59" spans="1:5" s="138" customFormat="1">
      <c r="A59" s="130"/>
      <c r="B59" s="131"/>
      <c r="C59" s="130"/>
      <c r="D59" s="130"/>
      <c r="E59" s="130"/>
    </row>
    <row r="62" spans="1:5" s="138" customFormat="1">
      <c r="A62" s="130"/>
      <c r="B62" s="131"/>
      <c r="C62" s="130"/>
      <c r="D62" s="130"/>
      <c r="E62" s="130"/>
    </row>
    <row r="67" spans="1:5" s="138" customFormat="1">
      <c r="A67" s="130"/>
      <c r="B67" s="131"/>
      <c r="C67" s="130"/>
      <c r="D67" s="130"/>
      <c r="E67" s="130"/>
    </row>
    <row r="68" spans="1:5" s="138" customFormat="1">
      <c r="A68" s="130"/>
      <c r="B68" s="131"/>
      <c r="C68" s="130"/>
      <c r="D68" s="130"/>
      <c r="E68" s="13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topLeftCell="A4" zoomScaleNormal="100" zoomScaleSheetLayoutView="85" workbookViewId="0">
      <selection activeCell="I10" sqref="I10"/>
    </sheetView>
  </sheetViews>
  <sheetFormatPr defaultRowHeight="23.25"/>
  <cols>
    <col min="1" max="1" width="23.75" style="1" bestFit="1" customWidth="1"/>
    <col min="2" max="2" width="14.375" style="39" hidden="1" customWidth="1"/>
    <col min="3" max="3" width="11.75" style="39" hidden="1" customWidth="1"/>
    <col min="4" max="5" width="12.625" style="39" hidden="1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>
      <c r="A1" s="102" t="s">
        <v>13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6" s="43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6" s="18" customFormat="1">
      <c r="A3" s="8" t="s">
        <v>27</v>
      </c>
      <c r="B3" s="3">
        <f>SUM(B4,B7,B12,B14,B16)</f>
        <v>6738767.9200000009</v>
      </c>
      <c r="C3" s="3">
        <f t="shared" ref="C3:M3" si="0">SUM(C4,C7,C12,C14,C16)</f>
        <v>13418112.32</v>
      </c>
      <c r="D3" s="3">
        <f t="shared" si="0"/>
        <v>20572832.259999998</v>
      </c>
      <c r="E3" s="3">
        <f t="shared" si="0"/>
        <v>27265244.699999999</v>
      </c>
      <c r="F3" s="3">
        <f t="shared" si="0"/>
        <v>33947635.380000003</v>
      </c>
      <c r="G3" s="3">
        <f t="shared" si="0"/>
        <v>40670126.399999999</v>
      </c>
      <c r="H3" s="3">
        <f t="shared" si="0"/>
        <v>47407011.839999996</v>
      </c>
      <c r="I3" s="3">
        <f t="shared" si="0"/>
        <v>54187440.839999996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6555548.5500000007</v>
      </c>
      <c r="C4" s="16">
        <f>SUM(C5:C6)</f>
        <v>13048762.58</v>
      </c>
      <c r="D4" s="16">
        <f t="shared" ref="D4:M4" si="1">SUM(D5:D6)</f>
        <v>20025162.52</v>
      </c>
      <c r="E4" s="16">
        <f t="shared" si="1"/>
        <v>26498460.960000001</v>
      </c>
      <c r="F4" s="16">
        <f t="shared" si="1"/>
        <v>33016823.640000001</v>
      </c>
      <c r="G4" s="16">
        <f t="shared" si="1"/>
        <v>39543853.659999996</v>
      </c>
      <c r="H4" s="16">
        <f t="shared" si="1"/>
        <v>46107175.099999994</v>
      </c>
      <c r="I4" s="16">
        <f t="shared" si="1"/>
        <v>52705540.099999994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>
        <v>5026009.3600000003</v>
      </c>
      <c r="C5" s="6">
        <v>9984458.3900000006</v>
      </c>
      <c r="D5" s="6">
        <v>15250750</v>
      </c>
      <c r="E5" s="6">
        <v>20133733.440000001</v>
      </c>
      <c r="F5" s="6">
        <v>25116773.620000001</v>
      </c>
      <c r="G5" s="6">
        <v>30036815.789999999</v>
      </c>
      <c r="H5" s="6">
        <v>34994392.229999997</v>
      </c>
      <c r="I5" s="6">
        <v>39987012.229999997</v>
      </c>
      <c r="J5" s="6"/>
      <c r="K5" s="6"/>
      <c r="L5" s="6"/>
      <c r="M5" s="6"/>
      <c r="N5" s="44"/>
      <c r="O5" s="44"/>
      <c r="P5" s="44"/>
    </row>
    <row r="6" spans="1:16" s="18" customFormat="1">
      <c r="A6" s="12" t="s">
        <v>22</v>
      </c>
      <c r="B6" s="6">
        <v>1529539.19</v>
      </c>
      <c r="C6" s="6">
        <v>3064304.19</v>
      </c>
      <c r="D6" s="6">
        <v>4774412.5199999996</v>
      </c>
      <c r="E6" s="6">
        <v>6364727.5199999996</v>
      </c>
      <c r="F6" s="6">
        <v>7900050.0199999996</v>
      </c>
      <c r="G6" s="6">
        <v>9507037.8699999992</v>
      </c>
      <c r="H6" s="6">
        <v>11112782.869999999</v>
      </c>
      <c r="I6" s="6">
        <v>12718527.869999999</v>
      </c>
      <c r="J6" s="6"/>
      <c r="K6" s="6"/>
      <c r="L6" s="6"/>
      <c r="M6" s="6"/>
    </row>
    <row r="7" spans="1:16">
      <c r="A7" s="15" t="s">
        <v>17</v>
      </c>
      <c r="B7" s="16">
        <f>SUM(B8:B11)</f>
        <v>183219.37</v>
      </c>
      <c r="C7" s="16">
        <f t="shared" ref="C7:M7" si="2">SUM(C8:C11)</f>
        <v>369349.74</v>
      </c>
      <c r="D7" s="16">
        <f t="shared" si="2"/>
        <v>547669.74</v>
      </c>
      <c r="E7" s="16">
        <f t="shared" si="2"/>
        <v>766783.74</v>
      </c>
      <c r="F7" s="16">
        <f t="shared" si="2"/>
        <v>930811.74</v>
      </c>
      <c r="G7" s="16">
        <f t="shared" si="2"/>
        <v>1126272.74</v>
      </c>
      <c r="H7" s="16">
        <f t="shared" si="2"/>
        <v>1299836.74</v>
      </c>
      <c r="I7" s="16">
        <f t="shared" si="2"/>
        <v>1481900.74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>
      <c r="A8" s="11" t="s">
        <v>21</v>
      </c>
      <c r="B8" s="10">
        <v>126419.37</v>
      </c>
      <c r="C8" s="6">
        <v>255638.74</v>
      </c>
      <c r="D8" s="10">
        <v>377038.74</v>
      </c>
      <c r="E8" s="10">
        <v>539238.74</v>
      </c>
      <c r="F8" s="10">
        <v>648338.74</v>
      </c>
      <c r="G8" s="10">
        <v>785738.74</v>
      </c>
      <c r="H8" s="10">
        <v>901638.74</v>
      </c>
      <c r="I8" s="10">
        <v>1026038.74</v>
      </c>
      <c r="J8" s="10"/>
      <c r="K8" s="10"/>
      <c r="L8" s="10"/>
      <c r="M8" s="10"/>
      <c r="N8" s="44"/>
    </row>
    <row r="9" spans="1:16">
      <c r="A9" s="11" t="s">
        <v>18</v>
      </c>
      <c r="B9" s="10">
        <v>56800</v>
      </c>
      <c r="C9" s="6">
        <v>113711</v>
      </c>
      <c r="D9" s="10">
        <v>170631</v>
      </c>
      <c r="E9" s="10">
        <v>227545</v>
      </c>
      <c r="F9" s="10">
        <v>282473</v>
      </c>
      <c r="G9" s="10">
        <v>340534</v>
      </c>
      <c r="H9" s="10">
        <v>398198</v>
      </c>
      <c r="I9" s="10">
        <v>455862</v>
      </c>
      <c r="J9" s="10"/>
      <c r="K9" s="10"/>
      <c r="L9" s="10"/>
      <c r="M9" s="6"/>
      <c r="N9" s="44"/>
      <c r="O9" s="44"/>
    </row>
    <row r="10" spans="1:16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zoomScaleSheetLayoutView="85" workbookViewId="0">
      <selection activeCell="I14" sqref="I14"/>
    </sheetView>
  </sheetViews>
  <sheetFormatPr defaultRowHeight="23.25"/>
  <cols>
    <col min="1" max="1" width="23.75" style="1" bestFit="1" customWidth="1"/>
    <col min="2" max="2" width="14.375" style="39" hidden="1" customWidth="1"/>
    <col min="3" max="3" width="11.75" style="39" hidden="1" customWidth="1"/>
    <col min="4" max="4" width="12.625" style="39" hidden="1" customWidth="1"/>
    <col min="5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>
      <c r="A1" s="102" t="s">
        <v>13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6" s="43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6" s="18" customFormat="1">
      <c r="A3" s="8" t="s">
        <v>27</v>
      </c>
      <c r="B3" s="3">
        <f>SUM(B4,B7,B12,B14,B16)</f>
        <v>850930.86</v>
      </c>
      <c r="C3" s="3">
        <f t="shared" ref="C3:M3" si="0">SUM(C4,C7,C12,C14,C16)</f>
        <v>3115007.2199999997</v>
      </c>
      <c r="D3" s="3">
        <f t="shared" si="0"/>
        <v>4797754.8499999996</v>
      </c>
      <c r="E3" s="3">
        <f t="shared" si="0"/>
        <v>6009057.4899999993</v>
      </c>
      <c r="F3" s="3">
        <f t="shared" si="0"/>
        <v>7419847.5100000007</v>
      </c>
      <c r="G3" s="3">
        <f t="shared" si="0"/>
        <v>11587844.060000001</v>
      </c>
      <c r="H3" s="3">
        <f t="shared" si="0"/>
        <v>13678908.370000001</v>
      </c>
      <c r="I3" s="3">
        <f t="shared" si="0"/>
        <v>17219393.66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>
      <c r="A7" s="15" t="s">
        <v>17</v>
      </c>
      <c r="B7" s="16">
        <f>SUM(B8:B11)</f>
        <v>539530.86</v>
      </c>
      <c r="C7" s="16">
        <f>SUM(C8:C11)</f>
        <v>1965837.76</v>
      </c>
      <c r="D7" s="16">
        <f t="shared" ref="D7:E7" si="2">SUM(D8:D11)</f>
        <v>3152461.26</v>
      </c>
      <c r="E7" s="16">
        <f t="shared" si="2"/>
        <v>4281989.5199999996</v>
      </c>
      <c r="F7" s="16">
        <f t="shared" ref="F7:M7" si="3">SUM(F8:F11)</f>
        <v>5507926.8100000005</v>
      </c>
      <c r="G7" s="16">
        <f>SUM(G8:G11)</f>
        <v>7170076.79</v>
      </c>
      <c r="H7" s="16">
        <f t="shared" si="3"/>
        <v>8158407.3399999999</v>
      </c>
      <c r="I7" s="16">
        <f t="shared" si="3"/>
        <v>10157451.15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>
      <c r="A8" s="11" t="s">
        <v>21</v>
      </c>
      <c r="B8" s="10"/>
      <c r="C8" s="6">
        <v>15260</v>
      </c>
      <c r="D8" s="10">
        <v>49060</v>
      </c>
      <c r="E8" s="10">
        <v>174400</v>
      </c>
      <c r="F8" s="10">
        <v>202050</v>
      </c>
      <c r="G8" s="10">
        <v>262140</v>
      </c>
      <c r="H8" s="10">
        <v>313080</v>
      </c>
      <c r="I8" s="10">
        <v>329390</v>
      </c>
      <c r="J8" s="10"/>
      <c r="K8" s="10"/>
      <c r="L8" s="10"/>
      <c r="M8" s="10"/>
      <c r="N8" s="44"/>
    </row>
    <row r="9" spans="1:16">
      <c r="A9" s="11" t="s">
        <v>18</v>
      </c>
      <c r="B9" s="10">
        <v>173308.13</v>
      </c>
      <c r="C9" s="6">
        <f>1440093.66+13500</f>
        <v>1453593.66</v>
      </c>
      <c r="D9" s="10">
        <f>2138476.92+40500</f>
        <v>2178976.92</v>
      </c>
      <c r="E9" s="10">
        <f>2826428.3+40500</f>
        <v>2866928.3</v>
      </c>
      <c r="F9" s="10">
        <f>3861287.05+40500</f>
        <v>3901787.05</v>
      </c>
      <c r="G9" s="10">
        <f>4737514.38+240500</f>
        <v>4978014.38</v>
      </c>
      <c r="H9" s="10">
        <f>5318373.68+240500</f>
        <v>5558873.6799999997</v>
      </c>
      <c r="I9" s="10">
        <f>6362585.97+254300</f>
        <v>6616885.9699999997</v>
      </c>
      <c r="J9" s="10"/>
      <c r="K9" s="10"/>
      <c r="L9" s="10"/>
      <c r="M9" s="6"/>
      <c r="N9" s="44"/>
      <c r="O9" s="44"/>
    </row>
    <row r="10" spans="1:16">
      <c r="A10" s="11" t="s">
        <v>19</v>
      </c>
      <c r="B10" s="10">
        <v>20009</v>
      </c>
      <c r="C10" s="6">
        <v>116677.33</v>
      </c>
      <c r="D10" s="10">
        <v>330117.57</v>
      </c>
      <c r="E10" s="10">
        <v>539354.44999999995</v>
      </c>
      <c r="F10" s="10">
        <v>595782.99</v>
      </c>
      <c r="G10" s="10">
        <v>736881.79</v>
      </c>
      <c r="H10" s="10">
        <v>962777.45</v>
      </c>
      <c r="I10" s="10">
        <v>1100820.6000000001</v>
      </c>
      <c r="J10" s="10"/>
      <c r="K10" s="10"/>
      <c r="L10" s="10"/>
      <c r="M10" s="10"/>
      <c r="N10" s="44"/>
      <c r="O10" s="39"/>
    </row>
    <row r="11" spans="1:16" s="18" customFormat="1">
      <c r="A11" s="11" t="s">
        <v>31</v>
      </c>
      <c r="B11" s="10">
        <v>346213.73</v>
      </c>
      <c r="C11" s="6">
        <v>380306.77</v>
      </c>
      <c r="D11" s="10">
        <v>594306.77</v>
      </c>
      <c r="E11" s="10">
        <v>701306.77</v>
      </c>
      <c r="F11" s="10">
        <v>808306.77</v>
      </c>
      <c r="G11" s="10">
        <v>1193040.6200000001</v>
      </c>
      <c r="H11" s="10">
        <v>1323676.21</v>
      </c>
      <c r="I11" s="10">
        <v>2110354.58</v>
      </c>
      <c r="J11" s="10"/>
      <c r="K11" s="10"/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311400</v>
      </c>
      <c r="C12" s="19">
        <f t="shared" ref="C12:M12" si="4">SUM(C13)</f>
        <v>1149169.46</v>
      </c>
      <c r="D12" s="19">
        <f t="shared" si="4"/>
        <v>1282143.5900000001</v>
      </c>
      <c r="E12" s="19">
        <f t="shared" si="4"/>
        <v>1366013.59</v>
      </c>
      <c r="F12" s="19">
        <f t="shared" si="4"/>
        <v>1550866.32</v>
      </c>
      <c r="G12" s="19">
        <f t="shared" si="4"/>
        <v>4056712.8899999997</v>
      </c>
      <c r="H12" s="19">
        <f t="shared" si="4"/>
        <v>5159446.6500000004</v>
      </c>
      <c r="I12" s="19">
        <f t="shared" si="4"/>
        <v>6700888.1299999999</v>
      </c>
      <c r="J12" s="19">
        <f t="shared" si="4"/>
        <v>0</v>
      </c>
      <c r="K12" s="19">
        <f t="shared" si="4"/>
        <v>0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>
      <c r="A13" s="34" t="s">
        <v>25</v>
      </c>
      <c r="B13" s="52">
        <v>311400</v>
      </c>
      <c r="C13" s="52">
        <f>1119813.45+29356.01</f>
        <v>1149169.46</v>
      </c>
      <c r="D13" s="52">
        <f>1252787.58+29356.01</f>
        <v>1282143.5900000001</v>
      </c>
      <c r="E13" s="52">
        <f>1336657.58+29356.01</f>
        <v>1366013.59</v>
      </c>
      <c r="F13" s="52">
        <f>1485517.31+19193+46156.01</f>
        <v>1550866.32</v>
      </c>
      <c r="G13" s="52">
        <f>2256875.53+1677538+122299.36</f>
        <v>4056712.8899999997</v>
      </c>
      <c r="H13" s="52">
        <f>3294755.5+1680038+42470+142183.15</f>
        <v>5159446.6500000004</v>
      </c>
      <c r="I13" s="52">
        <v>6700888.1299999999</v>
      </c>
      <c r="J13" s="52"/>
      <c r="K13" s="52"/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261500</v>
      </c>
      <c r="E14" s="16">
        <f t="shared" si="6"/>
        <v>259404.38</v>
      </c>
      <c r="F14" s="16">
        <f t="shared" si="5"/>
        <v>259404.38</v>
      </c>
      <c r="G14" s="16">
        <f t="shared" si="5"/>
        <v>259404.38</v>
      </c>
      <c r="H14" s="16">
        <f t="shared" si="5"/>
        <v>259404.38</v>
      </c>
      <c r="I14" s="16">
        <f t="shared" si="5"/>
        <v>259404.38</v>
      </c>
      <c r="J14" s="16">
        <f t="shared" si="5"/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44"/>
    </row>
    <row r="15" spans="1:16">
      <c r="A15" s="5" t="s">
        <v>37</v>
      </c>
      <c r="B15" s="6"/>
      <c r="C15" s="6"/>
      <c r="D15" s="6">
        <v>261500</v>
      </c>
      <c r="E15" s="6">
        <v>259404.38</v>
      </c>
      <c r="F15" s="6">
        <v>259404.38</v>
      </c>
      <c r="G15" s="6">
        <v>259404.38</v>
      </c>
      <c r="H15" s="6">
        <v>259404.38</v>
      </c>
      <c r="I15" s="6">
        <v>259404.38</v>
      </c>
      <c r="J15" s="6"/>
      <c r="K15" s="6"/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101650</v>
      </c>
      <c r="E16" s="16">
        <f t="shared" si="8"/>
        <v>101650</v>
      </c>
      <c r="F16" s="16">
        <f t="shared" si="7"/>
        <v>101650</v>
      </c>
      <c r="G16" s="16">
        <f t="shared" si="7"/>
        <v>101650</v>
      </c>
      <c r="H16" s="16">
        <f t="shared" si="7"/>
        <v>101650</v>
      </c>
      <c r="I16" s="16">
        <f t="shared" si="7"/>
        <v>101650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53"/>
    </row>
    <row r="17" spans="1:13">
      <c r="A17" s="5" t="s">
        <v>40</v>
      </c>
      <c r="B17" s="6"/>
      <c r="C17" s="6"/>
      <c r="D17" s="6">
        <v>101650</v>
      </c>
      <c r="E17" s="6">
        <v>101650</v>
      </c>
      <c r="F17" s="6">
        <v>101650</v>
      </c>
      <c r="G17" s="6">
        <v>101650</v>
      </c>
      <c r="H17" s="6">
        <v>101650</v>
      </c>
      <c r="I17" s="6">
        <v>101650</v>
      </c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9"/>
  <sheetViews>
    <sheetView zoomScaleNormal="100" zoomScaleSheetLayoutView="89" workbookViewId="0">
      <selection activeCell="I17" sqref="I17"/>
    </sheetView>
  </sheetViews>
  <sheetFormatPr defaultRowHeight="23.25"/>
  <cols>
    <col min="1" max="1" width="23.75" style="1" bestFit="1" customWidth="1"/>
    <col min="2" max="2" width="14.125" style="1" hidden="1" customWidth="1"/>
    <col min="3" max="3" width="11.5" style="39" hidden="1" customWidth="1"/>
    <col min="4" max="5" width="11.5" style="1" hidden="1" customWidth="1"/>
    <col min="6" max="7" width="12.375" style="1" customWidth="1"/>
    <col min="8" max="8" width="13" style="1" customWidth="1"/>
    <col min="9" max="9" width="12.125" style="1" customWidth="1"/>
    <col min="10" max="12" width="12" style="1" bestFit="1" customWidth="1"/>
    <col min="13" max="13" width="12.375" style="1" bestFit="1" customWidth="1"/>
    <col min="14" max="14" width="12" style="1" bestFit="1" customWidth="1"/>
    <col min="15" max="16384" width="9" style="1"/>
  </cols>
  <sheetData>
    <row r="1" spans="1:14" ht="25.5" customHeight="1">
      <c r="A1" s="102" t="s">
        <v>26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4" s="43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4" s="4" customFormat="1">
      <c r="A3" s="8" t="s">
        <v>27</v>
      </c>
      <c r="B3" s="3">
        <f>+B4+B7+B12+B14+B16</f>
        <v>453051.88</v>
      </c>
      <c r="C3" s="3">
        <f t="shared" ref="C3:E3" si="0">+C4+C7+C12+C14+C16</f>
        <v>2549094.3499999996</v>
      </c>
      <c r="D3" s="3">
        <f t="shared" si="0"/>
        <v>3977019.03</v>
      </c>
      <c r="E3" s="3">
        <f t="shared" si="0"/>
        <v>5195859.16</v>
      </c>
      <c r="F3" s="3">
        <f>+F4+F7+F12+F14+F16</f>
        <v>6695083.0899999999</v>
      </c>
      <c r="G3" s="3">
        <f>+G4+G7+G12+G14+G16</f>
        <v>7988023.8300000001</v>
      </c>
      <c r="H3" s="3">
        <f t="shared" ref="H3" si="1">+H4+H7+H12+H14+H16</f>
        <v>9635350.6100000013</v>
      </c>
      <c r="I3" s="3">
        <f>+I4+I7+I12+I14+I16</f>
        <v>11722994.279999999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</row>
    <row r="4" spans="1:14" s="18" customFormat="1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4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44"/>
    </row>
    <row r="6" spans="1:14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4" s="18" customFormat="1">
      <c r="A7" s="15" t="s">
        <v>17</v>
      </c>
      <c r="B7" s="16">
        <f t="shared" ref="B7:E7" si="5">SUM(B8:B11)</f>
        <v>34870</v>
      </c>
      <c r="C7" s="16">
        <f t="shared" si="5"/>
        <v>1229411.48</v>
      </c>
      <c r="D7" s="16">
        <f t="shared" si="5"/>
        <v>2543268.7999999998</v>
      </c>
      <c r="E7" s="16">
        <f t="shared" si="5"/>
        <v>3282818.31</v>
      </c>
      <c r="F7" s="16">
        <f>SUM(F8:F11)</f>
        <v>4500692.7300000004</v>
      </c>
      <c r="G7" s="16">
        <f t="shared" ref="G7:L7" si="6">SUM(G8:G11)</f>
        <v>5528063.3499999996</v>
      </c>
      <c r="H7" s="16">
        <f t="shared" si="6"/>
        <v>5937091.9700000007</v>
      </c>
      <c r="I7" s="16">
        <f>SUM(I8:I11)</f>
        <v>7020003.0199999996</v>
      </c>
      <c r="J7" s="16">
        <f>SUM(J8:J11)</f>
        <v>0</v>
      </c>
      <c r="K7" s="16">
        <f>SUM(K8:K11)</f>
        <v>0</v>
      </c>
      <c r="L7" s="16">
        <f t="shared" si="6"/>
        <v>0</v>
      </c>
      <c r="M7" s="16">
        <f>SUM(M8:M11)</f>
        <v>0</v>
      </c>
    </row>
    <row r="8" spans="1:14">
      <c r="A8" s="11" t="s">
        <v>21</v>
      </c>
      <c r="B8" s="10">
        <v>10850</v>
      </c>
      <c r="C8" s="10">
        <v>74870</v>
      </c>
      <c r="D8" s="10">
        <v>130880</v>
      </c>
      <c r="E8" s="10">
        <v>238120</v>
      </c>
      <c r="F8" s="10">
        <v>317200</v>
      </c>
      <c r="G8" s="10">
        <v>369140</v>
      </c>
      <c r="H8" s="10">
        <v>422760</v>
      </c>
      <c r="I8" s="10">
        <v>503850</v>
      </c>
      <c r="J8" s="10"/>
      <c r="K8" s="10"/>
      <c r="L8" s="10"/>
      <c r="M8" s="10"/>
    </row>
    <row r="9" spans="1:14">
      <c r="A9" s="11" t="s">
        <v>18</v>
      </c>
      <c r="B9" s="10">
        <v>24020</v>
      </c>
      <c r="C9" s="10">
        <v>782785.88</v>
      </c>
      <c r="D9" s="10">
        <f>1878637.02</f>
        <v>1878637.02</v>
      </c>
      <c r="E9" s="10">
        <f>2407753.68</f>
        <v>2407753.6800000002</v>
      </c>
      <c r="F9" s="10">
        <v>3088598.93</v>
      </c>
      <c r="G9" s="10">
        <v>3906063.84</v>
      </c>
      <c r="H9" s="10">
        <v>4240852.9400000004</v>
      </c>
      <c r="I9" s="10">
        <f>5058655.37+13800</f>
        <v>5072455.37</v>
      </c>
      <c r="J9" s="10"/>
      <c r="K9" s="10"/>
      <c r="L9" s="10"/>
      <c r="M9" s="10"/>
      <c r="N9" s="10"/>
    </row>
    <row r="10" spans="1:14">
      <c r="A10" s="11" t="s">
        <v>19</v>
      </c>
      <c r="B10" s="10"/>
      <c r="C10" s="10">
        <v>36530</v>
      </c>
      <c r="D10" s="10">
        <v>177078.23</v>
      </c>
      <c r="E10" s="10">
        <v>280271.28000000003</v>
      </c>
      <c r="F10" s="10">
        <v>490916.86</v>
      </c>
      <c r="G10" s="10">
        <v>648882.56999999995</v>
      </c>
      <c r="H10" s="10">
        <v>669502.09</v>
      </c>
      <c r="I10" s="10">
        <v>839720.71</v>
      </c>
      <c r="J10" s="10"/>
      <c r="K10" s="10"/>
      <c r="L10" s="10"/>
      <c r="M10" s="10"/>
    </row>
    <row r="11" spans="1:14">
      <c r="A11" s="11" t="s">
        <v>31</v>
      </c>
      <c r="B11" s="10"/>
      <c r="C11" s="10">
        <v>335225.59999999998</v>
      </c>
      <c r="D11" s="10">
        <v>356673.55</v>
      </c>
      <c r="E11" s="10">
        <v>356673.35</v>
      </c>
      <c r="F11" s="10">
        <v>603976.93999999994</v>
      </c>
      <c r="G11" s="10">
        <v>603976.93999999994</v>
      </c>
      <c r="H11" s="10">
        <v>603976.93999999994</v>
      </c>
      <c r="I11" s="52">
        <v>603976.93999999994</v>
      </c>
      <c r="J11" s="52"/>
      <c r="K11" s="52"/>
      <c r="L11" s="10"/>
      <c r="M11" s="52"/>
      <c r="N11" s="44"/>
    </row>
    <row r="12" spans="1:14" s="18" customFormat="1">
      <c r="A12" s="23" t="s">
        <v>30</v>
      </c>
      <c r="B12" s="19">
        <f t="shared" ref="B12:E12" si="7">SUM(B13)</f>
        <v>418181.88</v>
      </c>
      <c r="C12" s="19">
        <f t="shared" si="7"/>
        <v>1319682.8699999999</v>
      </c>
      <c r="D12" s="19">
        <f t="shared" si="7"/>
        <v>1433750.23</v>
      </c>
      <c r="E12" s="19">
        <f t="shared" si="7"/>
        <v>1913040.85</v>
      </c>
      <c r="F12" s="19">
        <f>SUM(F13)</f>
        <v>2194390.36</v>
      </c>
      <c r="G12" s="19">
        <f t="shared" ref="G12:M12" si="8">SUM(G13)</f>
        <v>2459960.48</v>
      </c>
      <c r="H12" s="19">
        <f t="shared" si="8"/>
        <v>3698258.64</v>
      </c>
      <c r="I12" s="19">
        <f t="shared" si="8"/>
        <v>4702991.26</v>
      </c>
      <c r="J12" s="19">
        <f>SUM(J13)</f>
        <v>0</v>
      </c>
      <c r="K12" s="19">
        <f t="shared" si="8"/>
        <v>0</v>
      </c>
      <c r="L12" s="19">
        <f t="shared" si="8"/>
        <v>0</v>
      </c>
      <c r="M12" s="19">
        <f t="shared" si="8"/>
        <v>0</v>
      </c>
    </row>
    <row r="13" spans="1:14" s="18" customFormat="1">
      <c r="A13" s="34" t="s">
        <v>25</v>
      </c>
      <c r="B13" s="10">
        <v>418181.88</v>
      </c>
      <c r="C13" s="10">
        <f>401050.63+785992.54+132639.7</f>
        <v>1319682.8699999999</v>
      </c>
      <c r="D13" s="10">
        <f>492050.63+785270.11+156429.49</f>
        <v>1433750.23</v>
      </c>
      <c r="E13" s="10">
        <f>893772.63+799274.83+219993.39</f>
        <v>1913040.85</v>
      </c>
      <c r="F13" s="10">
        <f>1060334.13+835374.83+298681.4</f>
        <v>2194390.36</v>
      </c>
      <c r="G13" s="10">
        <f>1134846.33+904324.83+410289.32+10500</f>
        <v>2459960.48</v>
      </c>
      <c r="H13" s="10">
        <f>1275886.83+1461401.19+865277.52+95693.1</f>
        <v>3698258.64</v>
      </c>
      <c r="I13" s="10">
        <v>4702991.26</v>
      </c>
      <c r="J13" s="10"/>
      <c r="K13" s="10"/>
      <c r="L13" s="10"/>
      <c r="M13" s="10"/>
    </row>
    <row r="14" spans="1:14" s="18" customFormat="1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4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4" s="18" customFormat="1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4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4">
      <c r="G20" s="39"/>
    </row>
    <row r="21" spans="1:14" s="4" customFormat="1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4">
      <c r="B22" s="44"/>
      <c r="E22" s="44"/>
    </row>
    <row r="25" spans="1:14" s="18" customFormat="1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C26" s="1"/>
      <c r="D26" s="39"/>
    </row>
    <row r="27" spans="1:14">
      <c r="C27" s="1"/>
      <c r="D27" s="39"/>
    </row>
    <row r="28" spans="1:14">
      <c r="C28" s="1"/>
      <c r="D28" s="39"/>
    </row>
    <row r="30" spans="1:14" s="4" customFormat="1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4" s="18" customFormat="1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8"/>
  <sheetViews>
    <sheetView topLeftCell="A2" zoomScale="98" zoomScaleNormal="98" zoomScaleSheetLayoutView="100" workbookViewId="0">
      <selection activeCell="I3" sqref="I3"/>
    </sheetView>
  </sheetViews>
  <sheetFormatPr defaultColWidth="9.75" defaultRowHeight="18.75"/>
  <cols>
    <col min="1" max="1" width="20.75" style="58" customWidth="1"/>
    <col min="2" max="2" width="11" style="66" hidden="1" customWidth="1"/>
    <col min="3" max="4" width="11" style="58" hidden="1" customWidth="1"/>
    <col min="5" max="5" width="11.375" style="58" bestFit="1" customWidth="1"/>
    <col min="6" max="7" width="12" style="58" bestFit="1" customWidth="1"/>
    <col min="8" max="8" width="12.25" style="58" bestFit="1" customWidth="1"/>
    <col min="9" max="9" width="12.25" style="66" bestFit="1" customWidth="1"/>
    <col min="10" max="10" width="11" style="58" customWidth="1"/>
    <col min="11" max="13" width="10.5" style="58" bestFit="1" customWidth="1"/>
    <col min="14" max="14" width="12" style="58" bestFit="1" customWidth="1"/>
    <col min="15" max="15" width="11.25" style="58" bestFit="1" customWidth="1"/>
    <col min="16" max="16384" width="9.75" style="58"/>
  </cols>
  <sheetData>
    <row r="1" spans="1:15" ht="25.5" customHeight="1">
      <c r="A1" s="102" t="s">
        <v>14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5" s="59" customFormat="1" ht="17.25" customHeight="1">
      <c r="A2" s="40" t="s">
        <v>12</v>
      </c>
      <c r="B2" s="41" t="s">
        <v>57</v>
      </c>
      <c r="C2" s="40" t="s">
        <v>58</v>
      </c>
      <c r="D2" s="42" t="s">
        <v>59</v>
      </c>
      <c r="E2" s="40" t="s">
        <v>60</v>
      </c>
      <c r="F2" s="40" t="s">
        <v>61</v>
      </c>
      <c r="G2" s="40" t="s">
        <v>62</v>
      </c>
      <c r="H2" s="40" t="s">
        <v>63</v>
      </c>
      <c r="I2" s="40" t="s">
        <v>64</v>
      </c>
      <c r="J2" s="40" t="s">
        <v>65</v>
      </c>
      <c r="K2" s="40" t="s">
        <v>66</v>
      </c>
      <c r="L2" s="40" t="s">
        <v>67</v>
      </c>
      <c r="M2" s="40" t="s">
        <v>68</v>
      </c>
    </row>
    <row r="3" spans="1:15" s="60" customFormat="1" ht="23.25">
      <c r="A3" s="8" t="s">
        <v>27</v>
      </c>
      <c r="B3" s="3">
        <f>+B4+B7+B12+B14+B16</f>
        <v>1081653.6400000001</v>
      </c>
      <c r="C3" s="3">
        <f t="shared" ref="C3:D3" si="0">+C4+C7+C12+C14+C16</f>
        <v>2699670.86</v>
      </c>
      <c r="D3" s="3">
        <f t="shared" si="0"/>
        <v>6427566.7400000002</v>
      </c>
      <c r="E3" s="3">
        <f>+E4+E7+E12+E14+E16</f>
        <v>8109228.9900000002</v>
      </c>
      <c r="F3" s="3">
        <f t="shared" ref="F3:H3" si="1">+F4+F7+F12+F14+F16</f>
        <v>12999656.889999999</v>
      </c>
      <c r="G3" s="3">
        <f>+G4+G7+G12+G14+G16</f>
        <v>16571086.989999998</v>
      </c>
      <c r="H3" s="3">
        <f t="shared" si="1"/>
        <v>17864308.859999999</v>
      </c>
      <c r="I3" s="3">
        <f>+I4+I7+I12+I14+I16</f>
        <v>19519437.589999996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  <c r="N3" s="72"/>
    </row>
    <row r="4" spans="1:15" ht="23.25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>
      <c r="A7" s="61" t="s">
        <v>17</v>
      </c>
      <c r="B7" s="62">
        <f>SUM(B8:B11)</f>
        <v>897405.27</v>
      </c>
      <c r="C7" s="62">
        <f t="shared" ref="C7:D7" si="6">SUM(C8:C11)</f>
        <v>1828608.16</v>
      </c>
      <c r="D7" s="62">
        <f t="shared" si="6"/>
        <v>3607885.8099999996</v>
      </c>
      <c r="E7" s="62">
        <f>SUM(E8:E11)</f>
        <v>4698539.91</v>
      </c>
      <c r="F7" s="62">
        <f t="shared" ref="F7:G7" si="7">SUM(F8:F11)</f>
        <v>7133516.6199999992</v>
      </c>
      <c r="G7" s="62">
        <f t="shared" si="7"/>
        <v>9271177.8899999987</v>
      </c>
      <c r="H7" s="62">
        <f>SUM(H8:H11)</f>
        <v>10364399.989999998</v>
      </c>
      <c r="I7" s="62">
        <f t="shared" ref="I7:L7" si="8">SUM(I8:I11)</f>
        <v>11276290.319999998</v>
      </c>
      <c r="J7" s="62">
        <f>SUM(J8:J11)</f>
        <v>0</v>
      </c>
      <c r="K7" s="62">
        <f t="shared" si="8"/>
        <v>0</v>
      </c>
      <c r="L7" s="62">
        <f t="shared" si="8"/>
        <v>0</v>
      </c>
      <c r="M7" s="62">
        <f>SUM(M8:M11)</f>
        <v>0</v>
      </c>
      <c r="N7" s="68"/>
    </row>
    <row r="8" spans="1:15">
      <c r="A8" s="69" t="s">
        <v>21</v>
      </c>
      <c r="B8" s="65">
        <v>98573.03</v>
      </c>
      <c r="C8" s="65">
        <v>118223.03</v>
      </c>
      <c r="D8" s="65">
        <v>224703.03</v>
      </c>
      <c r="E8" s="65">
        <v>298553.03000000003</v>
      </c>
      <c r="F8" s="65">
        <v>485899.85</v>
      </c>
      <c r="G8" s="65">
        <v>574799.85</v>
      </c>
      <c r="H8" s="65">
        <v>612599.85</v>
      </c>
      <c r="I8" s="65">
        <v>625179.85</v>
      </c>
      <c r="J8" s="65"/>
      <c r="K8" s="65"/>
      <c r="L8" s="65"/>
      <c r="M8" s="65"/>
      <c r="O8" s="68"/>
    </row>
    <row r="9" spans="1:15">
      <c r="A9" s="69" t="s">
        <v>18</v>
      </c>
      <c r="B9" s="65">
        <v>621194.93999999994</v>
      </c>
      <c r="C9" s="65">
        <v>1401232.93</v>
      </c>
      <c r="D9" s="65">
        <v>2416353.0099999998</v>
      </c>
      <c r="E9" s="65">
        <v>3133788.54</v>
      </c>
      <c r="F9" s="65">
        <v>5139473.96</v>
      </c>
      <c r="G9" s="65">
        <v>6862353.2999999998</v>
      </c>
      <c r="H9" s="65">
        <v>7601380.3399999999</v>
      </c>
      <c r="I9" s="65">
        <v>8425396.5700000003</v>
      </c>
      <c r="J9" s="65"/>
      <c r="K9" s="65"/>
      <c r="L9" s="65"/>
      <c r="M9" s="65"/>
    </row>
    <row r="10" spans="1:15">
      <c r="A10" s="69" t="s">
        <v>19</v>
      </c>
      <c r="B10" s="65">
        <v>177637.3</v>
      </c>
      <c r="C10" s="65">
        <v>309152.2</v>
      </c>
      <c r="D10" s="65">
        <v>538351.91</v>
      </c>
      <c r="E10" s="65">
        <v>533119.51</v>
      </c>
      <c r="F10" s="65">
        <v>552687.51</v>
      </c>
      <c r="G10" s="65">
        <v>824977.8</v>
      </c>
      <c r="H10" s="65">
        <v>928589.6</v>
      </c>
      <c r="I10" s="65">
        <v>1003883.7</v>
      </c>
      <c r="J10" s="65"/>
      <c r="K10" s="65"/>
      <c r="L10" s="65"/>
      <c r="M10" s="65"/>
    </row>
    <row r="11" spans="1:15" s="60" customFormat="1">
      <c r="A11" s="69" t="s">
        <v>31</v>
      </c>
      <c r="B11" s="65"/>
      <c r="C11" s="65"/>
      <c r="D11" s="65">
        <v>428477.86</v>
      </c>
      <c r="E11" s="65">
        <v>733078.83</v>
      </c>
      <c r="F11" s="65">
        <v>955455.3</v>
      </c>
      <c r="G11" s="65">
        <v>1009046.94</v>
      </c>
      <c r="H11" s="65">
        <v>1221830.2</v>
      </c>
      <c r="I11" s="65">
        <v>1221830.2</v>
      </c>
      <c r="J11" s="65"/>
      <c r="K11" s="65"/>
      <c r="L11" s="65"/>
      <c r="M11" s="65"/>
    </row>
    <row r="12" spans="1:15" s="60" customFormat="1">
      <c r="A12" s="70" t="s">
        <v>30</v>
      </c>
      <c r="B12" s="71">
        <f t="shared" ref="B12:H12" si="9">SUM(B13)</f>
        <v>184248.37</v>
      </c>
      <c r="C12" s="71">
        <f t="shared" si="9"/>
        <v>871062.7</v>
      </c>
      <c r="D12" s="71">
        <f t="shared" si="9"/>
        <v>1640680.9300000002</v>
      </c>
      <c r="E12" s="71">
        <f t="shared" si="9"/>
        <v>2231689.08</v>
      </c>
      <c r="F12" s="71">
        <f t="shared" si="9"/>
        <v>4687140.2699999996</v>
      </c>
      <c r="G12" s="71">
        <f t="shared" si="9"/>
        <v>6120909.0999999996</v>
      </c>
      <c r="H12" s="71">
        <f t="shared" si="9"/>
        <v>6320908.8699999992</v>
      </c>
      <c r="I12" s="71">
        <f t="shared" ref="I12:M12" si="10">SUM(I13)</f>
        <v>7064147.2699999996</v>
      </c>
      <c r="J12" s="71">
        <f t="shared" si="10"/>
        <v>0</v>
      </c>
      <c r="K12" s="71">
        <f t="shared" si="10"/>
        <v>0</v>
      </c>
      <c r="L12" s="71">
        <f t="shared" si="10"/>
        <v>0</v>
      </c>
      <c r="M12" s="71">
        <f t="shared" si="10"/>
        <v>0</v>
      </c>
      <c r="N12" s="72"/>
    </row>
    <row r="13" spans="1:15" s="60" customFormat="1">
      <c r="A13" s="73" t="s">
        <v>25</v>
      </c>
      <c r="B13" s="65">
        <v>184248.37</v>
      </c>
      <c r="C13" s="65">
        <f>730014.33+141048.37</f>
        <v>871062.7</v>
      </c>
      <c r="D13" s="65">
        <f>1222927.56+223548.37+194205</f>
        <v>1640680.9300000002</v>
      </c>
      <c r="E13" s="65">
        <f>360400+1282127.71+394956.37+194205</f>
        <v>2231689.08</v>
      </c>
      <c r="F13" s="65">
        <f>818577.68+249999.91+1922827.71+701530.1+194205+799999.87</f>
        <v>4687140.2699999996</v>
      </c>
      <c r="G13" s="65">
        <f>918534.23+249999.91+2984984.99+865185.1+302205+799999.87</f>
        <v>6120909.0999999996</v>
      </c>
      <c r="H13" s="65">
        <f>1297096.41+249999.91+2640232.48+905185.1+332705+95690.1+799999.87</f>
        <v>6320908.8699999992</v>
      </c>
      <c r="I13" s="65">
        <v>7064147.2699999996</v>
      </c>
      <c r="J13" s="65"/>
      <c r="K13" s="65"/>
      <c r="L13" s="65"/>
      <c r="M13" s="65"/>
      <c r="N13" s="72"/>
    </row>
    <row r="14" spans="1:15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1179000</v>
      </c>
      <c r="E16" s="62">
        <f t="shared" si="13"/>
        <v>1179000</v>
      </c>
      <c r="F16" s="62">
        <f t="shared" si="13"/>
        <v>1179000</v>
      </c>
      <c r="G16" s="62">
        <f t="shared" si="13"/>
        <v>1179000</v>
      </c>
      <c r="H16" s="62">
        <f>SUM(H17:H18)</f>
        <v>1179000</v>
      </c>
      <c r="I16" s="62">
        <f t="shared" ref="I16:L16" si="14">SUM(I17:I18)</f>
        <v>1179000</v>
      </c>
      <c r="J16" s="62">
        <f t="shared" si="14"/>
        <v>0</v>
      </c>
      <c r="K16" s="62">
        <f t="shared" si="14"/>
        <v>0</v>
      </c>
      <c r="L16" s="62">
        <f t="shared" si="14"/>
        <v>0</v>
      </c>
      <c r="M16" s="62">
        <f>SUM(M17:M18)</f>
        <v>0</v>
      </c>
    </row>
    <row r="17" spans="1:14">
      <c r="A17" s="57" t="s">
        <v>40</v>
      </c>
      <c r="B17" s="56"/>
      <c r="C17" s="56"/>
      <c r="D17" s="56">
        <v>1179000</v>
      </c>
      <c r="E17" s="56">
        <v>1179000</v>
      </c>
      <c r="F17" s="56">
        <v>1179000</v>
      </c>
      <c r="G17" s="56">
        <v>1179000</v>
      </c>
      <c r="H17" s="56">
        <v>1179000</v>
      </c>
      <c r="I17" s="56">
        <v>1179000</v>
      </c>
      <c r="J17" s="56"/>
      <c r="K17" s="56"/>
      <c r="L17" s="56"/>
      <c r="M17" s="65"/>
      <c r="N17" s="68"/>
    </row>
    <row r="18" spans="1:1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>
      <c r="L19" s="68"/>
    </row>
    <row r="20" spans="1:14" s="74" customFormat="1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>
      <c r="F22" s="68"/>
      <c r="G22" s="68"/>
    </row>
    <row r="24" spans="1:14" s="60" customFormat="1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>
      <c r="J27" s="68"/>
    </row>
    <row r="29" spans="1:14" s="74" customFormat="1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O42"/>
  <sheetViews>
    <sheetView zoomScaleNormal="100" zoomScaleSheetLayoutView="130" workbookViewId="0">
      <selection activeCell="O14" sqref="O14"/>
    </sheetView>
  </sheetViews>
  <sheetFormatPr defaultRowHeight="23.25"/>
  <cols>
    <col min="1" max="1" width="23.75" style="1" bestFit="1" customWidth="1"/>
    <col min="2" max="3" width="11.125" style="1" hidden="1" customWidth="1"/>
    <col min="4" max="4" width="11.375" style="39" hidden="1" customWidth="1"/>
    <col min="5" max="5" width="13.25" style="1" hidden="1" customWidth="1"/>
    <col min="6" max="7" width="12" style="1" customWidth="1"/>
    <col min="8" max="8" width="13.25" style="39" bestFit="1" customWidth="1"/>
    <col min="9" max="9" width="15" style="1" customWidth="1"/>
    <col min="10" max="10" width="13" style="1" bestFit="1" customWidth="1"/>
    <col min="11" max="11" width="12.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5" width="12" style="39" bestFit="1" customWidth="1"/>
    <col min="16" max="16384" width="9" style="1"/>
  </cols>
  <sheetData>
    <row r="2" spans="1:15">
      <c r="A2" s="102" t="s">
        <v>47</v>
      </c>
      <c r="B2" s="101"/>
      <c r="C2" s="101"/>
      <c r="D2" s="100"/>
      <c r="E2" s="101"/>
      <c r="F2" s="101"/>
      <c r="G2" s="101"/>
      <c r="H2" s="100"/>
      <c r="I2" s="101"/>
      <c r="J2" s="101"/>
      <c r="K2" s="101"/>
      <c r="L2" s="101"/>
      <c r="M2" s="101"/>
    </row>
    <row r="3" spans="1:15" s="43" customFormat="1" ht="17.25" customHeight="1">
      <c r="A3" s="40" t="s">
        <v>12</v>
      </c>
      <c r="B3" s="41" t="s">
        <v>57</v>
      </c>
      <c r="C3" s="40" t="s">
        <v>58</v>
      </c>
      <c r="D3" s="42" t="s">
        <v>59</v>
      </c>
      <c r="E3" s="40" t="s">
        <v>60</v>
      </c>
      <c r="F3" s="40" t="s">
        <v>61</v>
      </c>
      <c r="G3" s="40" t="s">
        <v>62</v>
      </c>
      <c r="H3" s="40" t="s">
        <v>63</v>
      </c>
      <c r="I3" s="40" t="s">
        <v>64</v>
      </c>
      <c r="J3" s="40" t="s">
        <v>65</v>
      </c>
      <c r="K3" s="40" t="s">
        <v>66</v>
      </c>
      <c r="L3" s="40" t="s">
        <v>67</v>
      </c>
      <c r="M3" s="40" t="s">
        <v>68</v>
      </c>
    </row>
    <row r="4" spans="1:15">
      <c r="A4" s="8" t="s">
        <v>27</v>
      </c>
      <c r="B4" s="14">
        <f>+B5+B10+B12+B14</f>
        <v>1063359.8500000001</v>
      </c>
      <c r="C4" s="14">
        <f t="shared" ref="C4" si="0">+C5+C10+C12+C14</f>
        <v>3157420.11</v>
      </c>
      <c r="D4" s="14">
        <f>+D5+D10+D12+D14</f>
        <v>9718225.7700000014</v>
      </c>
      <c r="E4" s="14">
        <f>E5+E10+E12</f>
        <v>17195654.449999999</v>
      </c>
      <c r="F4" s="14">
        <f>+F5+F10+F12+F14</f>
        <v>21078772.670000002</v>
      </c>
      <c r="G4" s="14">
        <f>+G5+G10+G12+G14</f>
        <v>23565074.32</v>
      </c>
      <c r="H4" s="14">
        <f t="shared" ref="H4" si="1">+H5+H10+H12+H14</f>
        <v>25740222.580000002</v>
      </c>
      <c r="I4" s="14">
        <f>+I5+I10+I12+I14</f>
        <v>36014581.390000001</v>
      </c>
      <c r="J4" s="14">
        <f>+J5+J10+J12+J14</f>
        <v>0</v>
      </c>
      <c r="K4" s="14">
        <f>+K5+K10+K12+K14</f>
        <v>0</v>
      </c>
      <c r="L4" s="14">
        <f t="shared" ref="L4" si="2">+L5+L10+L12+L14</f>
        <v>0</v>
      </c>
      <c r="M4" s="14">
        <f>+M5+M10+M12+M14</f>
        <v>0</v>
      </c>
      <c r="N4" s="44">
        <f>+E4+ภาพรวมผลผลิตที่3!E3+ภาพรวมผลผลิตที่2!E3+ภาพรวมผลผลิตที่1!E3+ค่าใช้จ่ายบุคคลากรภาครัฐ!E3</f>
        <v>63775044.789999992</v>
      </c>
    </row>
    <row r="5" spans="1:15" s="20" customFormat="1">
      <c r="A5" s="23" t="s">
        <v>49</v>
      </c>
      <c r="B5" s="22">
        <f t="shared" ref="B5:H5" si="3">SUM(B6:B9)</f>
        <v>567760.81000000006</v>
      </c>
      <c r="C5" s="22">
        <f t="shared" si="3"/>
        <v>1719792.3399999999</v>
      </c>
      <c r="D5" s="22">
        <f>SUM(D6:D9)</f>
        <v>3999532.85</v>
      </c>
      <c r="E5" s="22">
        <f>SUM(E6:E9)</f>
        <v>5383943.7700000005</v>
      </c>
      <c r="F5" s="22">
        <f t="shared" si="3"/>
        <v>7578491.1599999992</v>
      </c>
      <c r="G5" s="22">
        <f>SUM(G6:G9)</f>
        <v>8641872.4800000004</v>
      </c>
      <c r="H5" s="22">
        <f t="shared" si="3"/>
        <v>9979027.290000001</v>
      </c>
      <c r="I5" s="22">
        <f>SUM(I6:I9)</f>
        <v>15235288.9</v>
      </c>
      <c r="J5" s="22">
        <f t="shared" ref="J5:K5" si="4">SUM(J6:J9)</f>
        <v>0</v>
      </c>
      <c r="K5" s="22">
        <f t="shared" si="4"/>
        <v>0</v>
      </c>
      <c r="L5" s="22">
        <f t="shared" ref="L5" si="5">SUM(L6:L9)</f>
        <v>0</v>
      </c>
      <c r="M5" s="22">
        <f>SUM(M6:M9)</f>
        <v>0</v>
      </c>
      <c r="O5" s="159"/>
    </row>
    <row r="6" spans="1:15">
      <c r="A6" s="5" t="s">
        <v>50</v>
      </c>
      <c r="B6" s="6">
        <f>15250+165622</f>
        <v>180872</v>
      </c>
      <c r="C6" s="6">
        <f>338411.78+12250+452480</f>
        <v>803141.78</v>
      </c>
      <c r="D6" s="6">
        <f>21000+27500+1494680</f>
        <v>1543180</v>
      </c>
      <c r="E6" s="6">
        <f>39000+25500+1038790</f>
        <v>1103290</v>
      </c>
      <c r="F6" s="6">
        <f>39000+25500+1462868.08</f>
        <v>1527368.08</v>
      </c>
      <c r="G6" s="6">
        <f>52855.9+38750+1733052.08</f>
        <v>1824657.98</v>
      </c>
      <c r="H6" s="6">
        <f>52855.9+38750+1980152.08</f>
        <v>2071757.98</v>
      </c>
      <c r="I6" s="6">
        <f>100855.9+38750+2366676.98</f>
        <v>2506282.88</v>
      </c>
      <c r="J6" s="6"/>
      <c r="K6" s="6"/>
      <c r="L6" s="6"/>
      <c r="M6" s="6"/>
    </row>
    <row r="7" spans="1:15">
      <c r="A7" s="5" t="s">
        <v>51</v>
      </c>
      <c r="B7" s="6">
        <f>27777.4+47769.7+311341.71</f>
        <v>386888.81000000006</v>
      </c>
      <c r="C7" s="6">
        <f>10460.23+54557.5+851632.83</f>
        <v>916650.55999999994</v>
      </c>
      <c r="D7" s="6">
        <f>653631.78+73036.61+1618121.48</f>
        <v>2344789.87</v>
      </c>
      <c r="E7" s="6">
        <f>748682.32+71596.61+3377777.86</f>
        <v>4198056.79</v>
      </c>
      <c r="F7" s="6">
        <f>842082.32+237946.61+4873989.27</f>
        <v>5954018.1999999993</v>
      </c>
      <c r="G7" s="6">
        <f>1077332.42+252269.46+5390507.74</f>
        <v>6720109.6200000001</v>
      </c>
      <c r="H7" s="6">
        <f>1126682.42+260389.46+6394142.05</f>
        <v>7781213.9299999997</v>
      </c>
      <c r="I7" s="6">
        <f>2287002.62+2758139.46+7422202.36+61070</f>
        <v>12528414.440000001</v>
      </c>
      <c r="J7" s="6"/>
      <c r="K7" s="6"/>
      <c r="L7" s="6"/>
      <c r="M7" s="6"/>
    </row>
    <row r="8" spans="1:15">
      <c r="A8" s="5" t="s">
        <v>52</v>
      </c>
      <c r="B8" s="6"/>
      <c r="C8" s="6"/>
      <c r="D8" s="6">
        <f>97212.23+14350.75</f>
        <v>111562.98</v>
      </c>
      <c r="E8" s="6">
        <f>65146.23+17450.75</f>
        <v>82596.98000000001</v>
      </c>
      <c r="F8" s="6">
        <f>65146.23+1187.7+30770.95</f>
        <v>97104.88</v>
      </c>
      <c r="G8" s="6">
        <f>65146.23+1187.7+30770.95</f>
        <v>97104.88</v>
      </c>
      <c r="H8" s="6">
        <f>65146.23+1187.7+59721.45</f>
        <v>126055.38</v>
      </c>
      <c r="I8" s="6">
        <f>65146.23+1187.7+134257.65</f>
        <v>200591.58000000002</v>
      </c>
      <c r="J8" s="6"/>
      <c r="K8" s="6"/>
      <c r="L8" s="6"/>
      <c r="M8" s="6"/>
      <c r="O8" s="160">
        <f>SUM(O9:O14)</f>
        <v>36014581.390000001</v>
      </c>
    </row>
    <row r="9" spans="1:15">
      <c r="A9" s="5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O9" s="39">
        <v>457800</v>
      </c>
    </row>
    <row r="10" spans="1:15">
      <c r="A10" s="17" t="s">
        <v>54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5100000</v>
      </c>
      <c r="F10" s="16">
        <f t="shared" si="6"/>
        <v>5100000</v>
      </c>
      <c r="G10" s="16">
        <f t="shared" si="6"/>
        <v>5100000</v>
      </c>
      <c r="H10" s="16">
        <f t="shared" si="6"/>
        <v>5100000</v>
      </c>
      <c r="I10" s="16">
        <f t="shared" si="6"/>
        <v>5100000</v>
      </c>
      <c r="J10" s="16">
        <f t="shared" ref="J10:M10" si="7">SUM(J11)</f>
        <v>0</v>
      </c>
      <c r="K10" s="16">
        <f t="shared" si="7"/>
        <v>0</v>
      </c>
      <c r="L10" s="16">
        <f t="shared" si="7"/>
        <v>0</v>
      </c>
      <c r="M10" s="16">
        <f t="shared" si="7"/>
        <v>0</v>
      </c>
      <c r="O10" s="39">
        <v>7335923.9100000001</v>
      </c>
    </row>
    <row r="11" spans="1:15">
      <c r="A11" s="5" t="s">
        <v>55</v>
      </c>
      <c r="B11" s="6"/>
      <c r="C11" s="6"/>
      <c r="D11" s="6"/>
      <c r="E11" s="6">
        <v>5100000</v>
      </c>
      <c r="F11" s="6">
        <v>5100000</v>
      </c>
      <c r="G11" s="6">
        <v>5100000</v>
      </c>
      <c r="H11" s="6">
        <v>5100000</v>
      </c>
      <c r="I11" s="6">
        <v>5100000</v>
      </c>
      <c r="J11" s="6"/>
      <c r="K11" s="6"/>
      <c r="L11" s="6"/>
      <c r="M11" s="6"/>
      <c r="O11" s="39">
        <v>3076476.48</v>
      </c>
    </row>
    <row r="12" spans="1:15">
      <c r="A12" s="23" t="s">
        <v>30</v>
      </c>
      <c r="B12" s="16">
        <f>SUM(B13)</f>
        <v>495599.04000000004</v>
      </c>
      <c r="C12" s="16">
        <f>SUM(C13)</f>
        <v>1437627.77</v>
      </c>
      <c r="D12" s="16">
        <f t="shared" ref="D12:I12" si="8">SUM(D13)</f>
        <v>5718692.9200000009</v>
      </c>
      <c r="E12" s="16">
        <f>SUM(E13)</f>
        <v>6711710.6800000006</v>
      </c>
      <c r="F12" s="16">
        <f>SUM(F13)</f>
        <v>8400281.5099999998</v>
      </c>
      <c r="G12" s="16">
        <f>SUM(G13)</f>
        <v>9823201.8399999999</v>
      </c>
      <c r="H12" s="16">
        <f t="shared" si="8"/>
        <v>10661195.290000001</v>
      </c>
      <c r="I12" s="16">
        <f>SUM(I13)</f>
        <v>13412492.49</v>
      </c>
      <c r="J12" s="16">
        <f>SUM(J13)</f>
        <v>0</v>
      </c>
      <c r="K12" s="16">
        <f>SUM(K13)</f>
        <v>0</v>
      </c>
      <c r="L12" s="16">
        <f t="shared" ref="L12:M12" si="9">SUM(L13)</f>
        <v>0</v>
      </c>
      <c r="M12" s="16">
        <f t="shared" si="9"/>
        <v>0</v>
      </c>
      <c r="N12" s="44"/>
      <c r="O12" s="39">
        <v>23335381</v>
      </c>
    </row>
    <row r="13" spans="1:15">
      <c r="A13" s="34" t="s">
        <v>25</v>
      </c>
      <c r="B13" s="10">
        <f>76518.39+409500+9580.65</f>
        <v>495599.04000000004</v>
      </c>
      <c r="C13" s="10">
        <f>576694.63+12494.85+32100+627797.64+188540.65</f>
        <v>1437627.77</v>
      </c>
      <c r="D13" s="10">
        <f>1338231.79+12494.85+990000+73622.58+1397336.84+1907006.86</f>
        <v>5718692.9200000009</v>
      </c>
      <c r="E13" s="10">
        <f>1959320.09+12494.85+1012380+73622.58+1679956.2+28000+1945936.96</f>
        <v>6711710.6800000006</v>
      </c>
      <c r="F13" s="10">
        <f>2708810.77+38064.85+1012380+100822.58+1649055.5+27974.5+480+2862693.31</f>
        <v>8400281.5099999998</v>
      </c>
      <c r="G13" s="10">
        <f>3453467.25+40674.35+320000+1012380+143329.58+1678656.31+233615.79+60363+2880715.56</f>
        <v>9823201.8399999999</v>
      </c>
      <c r="H13" s="10">
        <f>3946731.2+76734.35+6637729.74</f>
        <v>10661195.290000001</v>
      </c>
      <c r="I13" s="10">
        <f>4882919.16+278399.32+8251174.01</f>
        <v>13412492.49</v>
      </c>
      <c r="J13" s="10"/>
      <c r="K13" s="10"/>
      <c r="L13" s="10"/>
      <c r="M13" s="10"/>
      <c r="O13" s="39">
        <v>1809000</v>
      </c>
    </row>
    <row r="14" spans="1:15">
      <c r="A14" s="17" t="s">
        <v>48</v>
      </c>
      <c r="B14" s="16">
        <f>SUM(B15)</f>
        <v>0</v>
      </c>
      <c r="C14" s="16">
        <f t="shared" ref="C14:I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2266800</v>
      </c>
      <c r="J14" s="16">
        <f>SUM(J15)</f>
        <v>0</v>
      </c>
      <c r="K14" s="16">
        <f>SUM(K15)</f>
        <v>0</v>
      </c>
      <c r="L14" s="16">
        <f t="shared" ref="L14:M14" si="11">SUM(L15)</f>
        <v>0</v>
      </c>
      <c r="M14" s="16">
        <f t="shared" si="11"/>
        <v>0</v>
      </c>
    </row>
    <row r="15" spans="1:15">
      <c r="A15" s="57" t="s">
        <v>56</v>
      </c>
      <c r="B15" s="6"/>
      <c r="C15" s="56"/>
      <c r="D15" s="56"/>
      <c r="E15" s="56"/>
      <c r="F15" s="56"/>
      <c r="G15" s="56"/>
      <c r="H15" s="56"/>
      <c r="I15" s="6">
        <f>457800+1809000</f>
        <v>2266800</v>
      </c>
      <c r="J15" s="56"/>
      <c r="K15" s="56"/>
      <c r="L15" s="56"/>
      <c r="M15" s="56"/>
      <c r="N15" s="44"/>
    </row>
    <row r="16" spans="1:15">
      <c r="F16" s="44"/>
      <c r="K16" s="44"/>
      <c r="N16" s="44"/>
    </row>
    <row r="17" spans="5:12">
      <c r="E17" s="81"/>
      <c r="F17" s="39"/>
      <c r="H17" s="81">
        <f>377061.51+5191415.75+20171745.32</f>
        <v>25740222.579999998</v>
      </c>
      <c r="I17" s="79">
        <f>+I14+I12+I10+I5</f>
        <v>36014581.390000001</v>
      </c>
      <c r="K17" s="44"/>
      <c r="L17" s="44"/>
    </row>
    <row r="18" spans="5:12">
      <c r="E18" s="81"/>
      <c r="F18" s="39"/>
      <c r="H18" s="81"/>
      <c r="I18" s="80"/>
    </row>
    <row r="19" spans="5:12">
      <c r="E19" s="39"/>
      <c r="F19" s="39"/>
      <c r="H19" s="81"/>
      <c r="I19" s="79"/>
    </row>
    <row r="20" spans="5:12">
      <c r="F20" s="39"/>
      <c r="H20" s="81"/>
      <c r="I20" s="80"/>
    </row>
    <row r="21" spans="5:12">
      <c r="F21" s="39"/>
      <c r="H21" s="81"/>
      <c r="I21" s="80"/>
    </row>
    <row r="22" spans="5:12">
      <c r="F22" s="39"/>
      <c r="H22" s="81"/>
      <c r="I22" s="80"/>
    </row>
    <row r="23" spans="5:12">
      <c r="F23" s="39"/>
      <c r="H23" s="81"/>
      <c r="I23" s="80"/>
    </row>
    <row r="24" spans="5:12">
      <c r="F24" s="44"/>
      <c r="H24" s="81"/>
      <c r="I24" s="79"/>
    </row>
    <row r="25" spans="5:12">
      <c r="H25" s="81"/>
      <c r="I25" s="80"/>
    </row>
    <row r="26" spans="5:12">
      <c r="H26" s="81"/>
      <c r="I26" s="80"/>
    </row>
    <row r="27" spans="5:12">
      <c r="H27" s="81"/>
      <c r="I27" s="80"/>
    </row>
    <row r="28" spans="5:12">
      <c r="H28" s="81"/>
      <c r="I28" s="80"/>
    </row>
    <row r="29" spans="5:12">
      <c r="H29" s="81"/>
      <c r="I29" s="80"/>
    </row>
    <row r="30" spans="5:12">
      <c r="H30" s="81"/>
      <c r="I30" s="80"/>
    </row>
    <row r="31" spans="5:12">
      <c r="H31" s="81"/>
      <c r="I31" s="80"/>
    </row>
    <row r="32" spans="5:12">
      <c r="H32" s="81"/>
      <c r="I32" s="80"/>
    </row>
    <row r="33" spans="8:9">
      <c r="H33" s="81"/>
      <c r="I33" s="80"/>
    </row>
    <row r="34" spans="8:9">
      <c r="H34" s="81"/>
      <c r="I34" s="80"/>
    </row>
    <row r="35" spans="8:9">
      <c r="H35" s="81"/>
      <c r="I35" s="80"/>
    </row>
    <row r="36" spans="8:9">
      <c r="H36" s="81"/>
      <c r="I36" s="80"/>
    </row>
    <row r="37" spans="8:9">
      <c r="H37" s="81"/>
      <c r="I37" s="80"/>
    </row>
    <row r="38" spans="8:9">
      <c r="H38" s="81"/>
      <c r="I38" s="80"/>
    </row>
    <row r="39" spans="8:9">
      <c r="H39" s="81"/>
      <c r="I39" s="80"/>
    </row>
    <row r="40" spans="8:9">
      <c r="H40" s="81"/>
      <c r="I40" s="80"/>
    </row>
    <row r="41" spans="8:9">
      <c r="H41" s="81"/>
      <c r="I41" s="80"/>
    </row>
    <row r="42" spans="8:9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79"/>
  <sheetViews>
    <sheetView zoomScale="81" zoomScaleNormal="81" zoomScaleSheetLayoutView="85" workbookViewId="0">
      <selection activeCell="P9" sqref="P9"/>
    </sheetView>
  </sheetViews>
  <sheetFormatPr defaultRowHeight="23.25"/>
  <cols>
    <col min="1" max="1" width="23.75" style="1" bestFit="1" customWidth="1"/>
    <col min="2" max="2" width="16.125" style="1" hidden="1" customWidth="1"/>
    <col min="3" max="3" width="13.875" style="1" hidden="1" customWidth="1"/>
    <col min="4" max="4" width="15" style="1" hidden="1" customWidth="1"/>
    <col min="5" max="5" width="13.875" style="1" hidden="1" customWidth="1"/>
    <col min="6" max="7" width="14.125" style="1" customWidth="1"/>
    <col min="8" max="8" width="13.875" style="39" customWidth="1"/>
    <col min="9" max="9" width="16.125" style="1" customWidth="1"/>
    <col min="10" max="11" width="13.875" style="1" customWidth="1"/>
    <col min="12" max="12" width="14.125" style="1" customWidth="1"/>
    <col min="13" max="14" width="13.875" style="1" bestFit="1" customWidth="1"/>
    <col min="15" max="16384" width="9" style="1"/>
  </cols>
  <sheetData>
    <row r="1" spans="1:62">
      <c r="A1" s="24" t="s">
        <v>28</v>
      </c>
      <c r="B1" s="41" t="s">
        <v>57</v>
      </c>
      <c r="C1" s="40" t="s">
        <v>58</v>
      </c>
      <c r="D1" s="42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40" t="s">
        <v>65</v>
      </c>
      <c r="K1" s="40" t="s">
        <v>66</v>
      </c>
      <c r="L1" s="40" t="s">
        <v>67</v>
      </c>
      <c r="M1" s="40" t="s">
        <v>68</v>
      </c>
      <c r="N1" s="96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>
      <c r="A2" s="8" t="s">
        <v>27</v>
      </c>
      <c r="B2" s="55">
        <f>+B3+B6+B11+B13+B15</f>
        <v>10187764.149999999</v>
      </c>
      <c r="C2" s="55">
        <f>+C3+C6+C11+C13+C15</f>
        <v>24939304.859999999</v>
      </c>
      <c r="D2" s="55">
        <f>+D3+D6+D11+D13+D15</f>
        <v>45493398.649999999</v>
      </c>
      <c r="E2" s="55">
        <f>+E3+E6+E11+E13+E15</f>
        <v>63775044.790000007</v>
      </c>
      <c r="F2" s="55">
        <f t="shared" ref="F2:M2" si="0">+F3+F6+F11+F13+F15</f>
        <v>82140995.539999992</v>
      </c>
      <c r="G2" s="55">
        <f>+G3+G6+G11+G13+G15</f>
        <v>100382155.59999999</v>
      </c>
      <c r="H2" s="55">
        <f t="shared" si="0"/>
        <v>114325802.25999999</v>
      </c>
      <c r="I2" s="55">
        <f>+I3+I6+I11+I13+I15</f>
        <v>138663847.75999999</v>
      </c>
      <c r="J2" s="55">
        <f t="shared" si="0"/>
        <v>0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96">
        <v>298745400</v>
      </c>
      <c r="O2" s="79">
        <f>+I2/N2*100</f>
        <v>46.415391754986011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>
      <c r="A3" s="15" t="s">
        <v>15</v>
      </c>
      <c r="B3" s="36">
        <f>SUM(B4:B5)</f>
        <v>6555548.5500000007</v>
      </c>
      <c r="C3" s="36">
        <f t="shared" ref="C3:M3" si="1">SUM(C4:C5)</f>
        <v>13048762.58</v>
      </c>
      <c r="D3" s="36">
        <f t="shared" si="1"/>
        <v>20025162.52</v>
      </c>
      <c r="E3" s="36">
        <f>SUM(E4:E5)</f>
        <v>26498460.960000001</v>
      </c>
      <c r="F3" s="36">
        <f>SUM(F4:F5)</f>
        <v>33016823.640000001</v>
      </c>
      <c r="G3" s="36">
        <f>SUM(G4:G5)</f>
        <v>39543853.659999996</v>
      </c>
      <c r="H3" s="36">
        <f t="shared" si="1"/>
        <v>46107175.099999994</v>
      </c>
      <c r="I3" s="36">
        <f t="shared" si="1"/>
        <v>52705540.099999994</v>
      </c>
      <c r="J3" s="36">
        <f t="shared" si="1"/>
        <v>0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95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</row>
    <row r="4" spans="1:62" s="18" customFormat="1">
      <c r="A4" s="13" t="s">
        <v>16</v>
      </c>
      <c r="B4" s="35">
        <f>+ค่าใช้จ่ายบุคคลากรภาครัฐ!B5</f>
        <v>5026009.3600000003</v>
      </c>
      <c r="C4" s="35">
        <f>+ค่าใช้จ่ายบุคคลากรภาครัฐ!C5</f>
        <v>9984458.3900000006</v>
      </c>
      <c r="D4" s="35">
        <f>+ค่าใช้จ่ายบุคคลากรภาครัฐ!D5</f>
        <v>15250750</v>
      </c>
      <c r="E4" s="35">
        <f>+ค่าใช้จ่ายบุคคลากรภาครัฐ!E5</f>
        <v>20133733.440000001</v>
      </c>
      <c r="F4" s="35">
        <f>+ค่าใช้จ่ายบุคคลากรภาครัฐ!F5</f>
        <v>25116773.620000001</v>
      </c>
      <c r="G4" s="35">
        <f>+ค่าใช้จ่ายบุคคลากรภาครัฐ!G5</f>
        <v>30036815.789999999</v>
      </c>
      <c r="H4" s="35">
        <f>+ค่าใช้จ่ายบุคคลากรภาครัฐ!H5</f>
        <v>34994392.229999997</v>
      </c>
      <c r="I4" s="35">
        <f>+ค่าใช้จ่ายบุคคลากรภาครัฐ!I5</f>
        <v>39987012.229999997</v>
      </c>
      <c r="J4" s="35">
        <f>+ค่าใช้จ่ายบุคคลากรภาครัฐ!J5</f>
        <v>0</v>
      </c>
      <c r="K4" s="35">
        <f>+ค่าใช้จ่ายบุคคลากรภาครัฐ!K5</f>
        <v>0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8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>
      <c r="A5" s="12" t="s">
        <v>22</v>
      </c>
      <c r="B5" s="35">
        <f>+ค่าใช้จ่ายบุคคลากรภาครัฐ!B6</f>
        <v>1529539.19</v>
      </c>
      <c r="C5" s="35">
        <f>+ค่าใช้จ่ายบุคคลากรภาครัฐ!C6</f>
        <v>3064304.19</v>
      </c>
      <c r="D5" s="35">
        <f>+ค่าใช้จ่ายบุคคลากรภาครัฐ!D6</f>
        <v>4774412.5199999996</v>
      </c>
      <c r="E5" s="35">
        <f>+ค่าใช้จ่ายบุคคลากรภาครัฐ!E6</f>
        <v>6364727.5199999996</v>
      </c>
      <c r="F5" s="35">
        <f>+ค่าใช้จ่ายบุคคลากรภาครัฐ!F6</f>
        <v>7900050.0199999996</v>
      </c>
      <c r="G5" s="35">
        <f>+ค่าใช้จ่ายบุคคลากรภาครัฐ!G6</f>
        <v>9507037.8699999992</v>
      </c>
      <c r="H5" s="35">
        <f>+ค่าใช้จ่ายบุคคลากรภาครัฐ!H6</f>
        <v>11112782.869999999</v>
      </c>
      <c r="I5" s="35">
        <f>+ค่าใช้จ่ายบุคคลากรภาครัฐ!I6</f>
        <v>12718527.869999999</v>
      </c>
      <c r="J5" s="35">
        <f>+ค่าใช้จ่ายบุคคลากรภาครัฐ!J6</f>
        <v>0</v>
      </c>
      <c r="K5" s="35">
        <f>+ค่าใช้จ่ายบุคคลากรภาครัฐ!K6</f>
        <v>0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8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>
      <c r="A6" s="15" t="s">
        <v>17</v>
      </c>
      <c r="B6" s="36">
        <f>SUM(B7:B10)</f>
        <v>2222786.3099999996</v>
      </c>
      <c r="C6" s="36">
        <f t="shared" ref="C6:M6" si="2">SUM(C7:C10)</f>
        <v>7112999.4799999995</v>
      </c>
      <c r="D6" s="36">
        <f>SUM(D7:D10)</f>
        <v>13850818.459999999</v>
      </c>
      <c r="E6" s="36">
        <f>SUM(E7:E10)</f>
        <v>18414075.25</v>
      </c>
      <c r="F6" s="36">
        <f>SUM(F7:F10)</f>
        <v>25651439.060000002</v>
      </c>
      <c r="G6" s="36">
        <f>SUM(G7:G10)</f>
        <v>31737463.25</v>
      </c>
      <c r="H6" s="36">
        <f t="shared" si="2"/>
        <v>35738763.329999998</v>
      </c>
      <c r="I6" s="36">
        <f t="shared" si="2"/>
        <v>45170934.129999995</v>
      </c>
      <c r="J6" s="36">
        <f t="shared" si="2"/>
        <v>0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95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</row>
    <row r="7" spans="1:62" s="18" customFormat="1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416714.4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1267133.55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2324861.77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2353601.77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3180856.67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3816476.57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4321836.57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4990741.47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0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0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8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1262211.8799999999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4667974.0299999993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8989387.8200000003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12834072.309999999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18366351.140000001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22807075.140000001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25580518.890000001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33099014.350000001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0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0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8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197646.3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462359.53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1157110.6900000002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1435342.22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1736492.2400000002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2307847.04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2686924.52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3145016.59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0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0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8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346213.73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715532.37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1379458.1800000002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1791058.9500000002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2367739.0099999998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2806064.5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3149483.3499999996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3936161.7199999997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0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0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8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>
      <c r="A11" s="23" t="s">
        <v>30</v>
      </c>
      <c r="B11" s="46">
        <f>SUM(B12)</f>
        <v>1409429.29</v>
      </c>
      <c r="C11" s="46">
        <f t="shared" ref="C11:M11" si="3">SUM(C12)</f>
        <v>4777542.8000000007</v>
      </c>
      <c r="D11" s="46">
        <f t="shared" si="3"/>
        <v>10075267.670000002</v>
      </c>
      <c r="E11" s="46">
        <f t="shared" si="3"/>
        <v>12222454.200000001</v>
      </c>
      <c r="F11" s="46">
        <f t="shared" si="3"/>
        <v>16832678.460000001</v>
      </c>
      <c r="G11" s="46">
        <f t="shared" si="3"/>
        <v>22460784.309999999</v>
      </c>
      <c r="H11" s="46">
        <f t="shared" si="3"/>
        <v>25839809.450000003</v>
      </c>
      <c r="I11" s="46">
        <f t="shared" si="3"/>
        <v>31880519.149999999</v>
      </c>
      <c r="J11" s="46">
        <f t="shared" si="3"/>
        <v>0</v>
      </c>
      <c r="K11" s="46">
        <f t="shared" si="3"/>
        <v>0</v>
      </c>
      <c r="L11" s="46">
        <f t="shared" si="3"/>
        <v>0</v>
      </c>
      <c r="M11" s="46">
        <f t="shared" si="3"/>
        <v>0</v>
      </c>
      <c r="N11" s="99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</row>
    <row r="12" spans="1:62" s="47" customFormat="1">
      <c r="A12" s="34" t="s">
        <v>25</v>
      </c>
      <c r="B12" s="45">
        <f>+ค่าใช้จ่ายบุคคลากรภาครัฐ!B13+ภาพรวมผลผลิตที่1!B13+ภาพรวมผลผลิตที่2!B13+ภาพรวมผลผลิตที่3!B13+ภาพรวมโครงการ!B13</f>
        <v>1409429.29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4777542.8000000007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10075267.670000002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12222454.200000001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16832678.460000001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22460784.309999999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25839809.450000003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31880519.149999999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0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0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8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261500</v>
      </c>
      <c r="E13" s="54">
        <f t="shared" si="4"/>
        <v>5359404.38</v>
      </c>
      <c r="F13" s="54">
        <f>SUM(F14)</f>
        <v>5359404.38</v>
      </c>
      <c r="G13" s="54">
        <f t="shared" si="4"/>
        <v>5359404.38</v>
      </c>
      <c r="H13" s="54">
        <f t="shared" si="4"/>
        <v>5359404.38</v>
      </c>
      <c r="I13" s="54">
        <f t="shared" si="4"/>
        <v>5359404.38</v>
      </c>
      <c r="J13" s="54">
        <f t="shared" si="4"/>
        <v>0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98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261500</v>
      </c>
      <c r="E14" s="51">
        <f>+ภาพรวมผลผลิตที่1!E15+ภาพรวมผลผลิตที่2!E15+ภาพรวมผลผลิตที่3!E15+ภาพรวมโครงการ!E11</f>
        <v>5359404.38</v>
      </c>
      <c r="F14" s="51">
        <f>+ภาพรวมผลผลิตที่1!F15+ภาพรวมผลผลิตที่2!F15+ภาพรวมผลผลิตที่3!F15+ภาพรวมโครงการ!F11</f>
        <v>5359404.38</v>
      </c>
      <c r="G14" s="51">
        <f>+ภาพรวมผลผลิตที่1!G15+ภาพรวมผลผลิตที่2!G15+ภาพรวมผลผลิตที่3!G15+ภาพรวมโครงการ!G11</f>
        <v>5359404.38</v>
      </c>
      <c r="H14" s="51">
        <f>+ภาพรวมผลผลิตที่1!H15+ภาพรวมผลผลิตที่2!H15+ภาพรวมผลผลิตที่3!H15+ภาพรวมโครงการ!H11</f>
        <v>5359404.38</v>
      </c>
      <c r="I14" s="51">
        <f>+ภาพรวมผลผลิตที่1!I15+ภาพรวมผลผลิตที่2!I15+ภาพรวมผลผลิตที่3!I15+ภาพรวมโครงการ!I11</f>
        <v>5359404.38</v>
      </c>
      <c r="J14" s="51">
        <f>+ภาพรวมผลผลิตที่1!J15+ภาพรวมผลผลิตที่2!J15+ภาพรวมผลผลิตที่3!J15+ภาพรวมโครงการ!J11</f>
        <v>0</v>
      </c>
      <c r="K14" s="51">
        <f>+ภาพรวมผลผลิตที่1!K15+ภาพรวมผลผลิตที่2!K15+ภาพรวมผลผลิตที่3!K15+ภาพรวมโครงการ!K11</f>
        <v>0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9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</row>
    <row r="15" spans="1:62" s="47" customFormat="1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1280650</v>
      </c>
      <c r="E15" s="54">
        <f t="shared" si="5"/>
        <v>1280650</v>
      </c>
      <c r="F15" s="54">
        <f>SUM(F16:F17)</f>
        <v>1280650</v>
      </c>
      <c r="G15" s="54">
        <f t="shared" si="5"/>
        <v>1280650</v>
      </c>
      <c r="H15" s="54">
        <f t="shared" si="5"/>
        <v>1280650</v>
      </c>
      <c r="I15" s="54">
        <f t="shared" si="5"/>
        <v>3547450</v>
      </c>
      <c r="J15" s="54">
        <f t="shared" si="5"/>
        <v>0</v>
      </c>
      <c r="K15" s="54">
        <f t="shared" si="5"/>
        <v>0</v>
      </c>
      <c r="L15" s="54">
        <f t="shared" si="5"/>
        <v>0</v>
      </c>
      <c r="M15" s="54">
        <f t="shared" si="5"/>
        <v>0</v>
      </c>
      <c r="N15" s="98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1280650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1280650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1280650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1280650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1280650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3547450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9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</row>
    <row r="17" spans="1:62" s="18" customFormat="1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9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>
      <c r="C18" s="44"/>
      <c r="E18" s="44"/>
      <c r="F18" s="39"/>
      <c r="G18" s="44"/>
    </row>
    <row r="19" spans="1:62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>
      <c r="B21" s="80"/>
      <c r="C21" s="81"/>
      <c r="D21" s="95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>
      <c r="A22" s="39"/>
      <c r="B22" s="81"/>
      <c r="C22" s="81"/>
      <c r="D22" s="80"/>
      <c r="E22" s="81"/>
      <c r="F22" s="81"/>
      <c r="G22" s="80"/>
      <c r="H22" s="81"/>
      <c r="I22" s="81"/>
      <c r="J22" s="80"/>
      <c r="K22" s="80"/>
      <c r="L22" s="79"/>
      <c r="M22" s="79"/>
      <c r="N22" s="81"/>
    </row>
    <row r="23" spans="1:62" s="39" customFormat="1">
      <c r="A23" s="78"/>
      <c r="B23" s="81"/>
      <c r="C23" s="81"/>
      <c r="D23" s="81"/>
      <c r="E23" s="81"/>
      <c r="F23" s="81"/>
      <c r="G23" s="84"/>
      <c r="H23" s="81"/>
      <c r="I23" s="81"/>
      <c r="J23" s="81"/>
      <c r="K23" s="81"/>
      <c r="L23" s="81"/>
      <c r="M23" s="81"/>
      <c r="N23" s="81"/>
    </row>
    <row r="24" spans="1:62">
      <c r="B24" s="81"/>
      <c r="C24" s="81"/>
      <c r="D24" s="81"/>
      <c r="E24" s="81"/>
      <c r="F24" s="81"/>
      <c r="G24" s="85"/>
      <c r="H24" s="81"/>
      <c r="I24" s="81"/>
      <c r="J24" s="80"/>
      <c r="K24" s="80"/>
      <c r="L24" s="80"/>
      <c r="M24" s="80"/>
      <c r="N24" s="80"/>
    </row>
    <row r="25" spans="1:62">
      <c r="B25" s="81"/>
      <c r="C25" s="81">
        <v>3306500</v>
      </c>
      <c r="D25" s="81"/>
      <c r="E25" s="81"/>
      <c r="F25" s="81"/>
      <c r="G25" s="84"/>
      <c r="H25" s="81"/>
      <c r="I25" s="81"/>
      <c r="J25" s="80"/>
      <c r="K25" s="80"/>
      <c r="L25" s="80"/>
      <c r="M25" s="80"/>
      <c r="N25" s="80"/>
    </row>
    <row r="26" spans="1:62">
      <c r="B26" s="81"/>
      <c r="C26" s="81">
        <v>180791300</v>
      </c>
      <c r="D26" s="81"/>
      <c r="E26" s="81"/>
      <c r="F26" s="81"/>
      <c r="G26" s="85"/>
      <c r="H26" s="81"/>
      <c r="I26" s="81"/>
      <c r="J26" s="80"/>
      <c r="K26" s="86"/>
      <c r="L26" s="86"/>
      <c r="M26" s="80"/>
      <c r="N26" s="86"/>
    </row>
    <row r="27" spans="1:62">
      <c r="B27" s="81"/>
      <c r="C27" s="81">
        <f>SUM(C25:C26)</f>
        <v>184097800</v>
      </c>
      <c r="D27" s="81"/>
      <c r="E27" s="81"/>
      <c r="F27" s="81"/>
      <c r="G27" s="84"/>
      <c r="H27" s="81"/>
      <c r="I27" s="87"/>
      <c r="J27" s="88"/>
      <c r="K27" s="88"/>
      <c r="L27" s="88"/>
      <c r="M27" s="89"/>
      <c r="N27" s="89"/>
    </row>
    <row r="28" spans="1:62">
      <c r="B28" s="81"/>
      <c r="C28" s="81"/>
      <c r="D28" s="81"/>
      <c r="E28" s="81"/>
      <c r="F28" s="81"/>
      <c r="G28" s="84"/>
      <c r="H28" s="81"/>
      <c r="I28" s="80"/>
      <c r="J28" s="80"/>
      <c r="K28" s="90"/>
      <c r="L28" s="81"/>
      <c r="M28" s="81"/>
      <c r="N28" s="90"/>
    </row>
    <row r="29" spans="1:62">
      <c r="B29" s="81"/>
      <c r="C29" s="81"/>
      <c r="D29" s="81"/>
      <c r="E29" s="81"/>
      <c r="F29" s="81"/>
      <c r="G29" s="84"/>
      <c r="H29" s="81"/>
      <c r="I29" s="80"/>
      <c r="J29" s="81"/>
      <c r="K29" s="81"/>
      <c r="L29" s="81"/>
      <c r="M29" s="81"/>
      <c r="N29" s="81"/>
    </row>
    <row r="30" spans="1:62">
      <c r="B30" s="81"/>
      <c r="C30" s="81"/>
      <c r="D30" s="81"/>
      <c r="E30" s="81"/>
      <c r="F30" s="81"/>
      <c r="G30" s="84"/>
      <c r="H30" s="81"/>
      <c r="I30" s="80"/>
      <c r="J30" s="81"/>
      <c r="K30" s="81"/>
      <c r="L30" s="81"/>
      <c r="M30" s="81"/>
      <c r="N30" s="81"/>
    </row>
    <row r="31" spans="1:62">
      <c r="B31" s="81"/>
      <c r="C31" s="81"/>
      <c r="D31" s="81"/>
      <c r="E31" s="81"/>
      <c r="F31" s="81"/>
      <c r="G31" s="84"/>
      <c r="H31" s="81"/>
      <c r="I31" s="80"/>
      <c r="J31" s="81"/>
      <c r="K31" s="81"/>
      <c r="L31" s="81"/>
      <c r="M31" s="81"/>
      <c r="N31" s="81"/>
    </row>
    <row r="32" spans="1:62">
      <c r="B32" s="91"/>
      <c r="C32" s="80"/>
      <c r="D32" s="81"/>
      <c r="E32" s="81"/>
      <c r="F32" s="81"/>
      <c r="G32" s="84"/>
      <c r="H32" s="81"/>
      <c r="I32" s="80"/>
      <c r="J32" s="81"/>
      <c r="K32" s="81"/>
      <c r="L32" s="81"/>
      <c r="M32" s="81"/>
      <c r="N32" s="81"/>
    </row>
    <row r="33" spans="2:14">
      <c r="B33" s="91"/>
      <c r="C33" s="81"/>
      <c r="D33" s="81"/>
      <c r="E33" s="81"/>
      <c r="F33" s="81"/>
      <c r="G33" s="84"/>
      <c r="H33" s="81"/>
      <c r="I33" s="80"/>
      <c r="J33" s="81"/>
      <c r="K33" s="81"/>
      <c r="L33" s="81"/>
      <c r="M33" s="81"/>
      <c r="N33" s="81"/>
    </row>
    <row r="34" spans="2:14">
      <c r="B34" s="91"/>
      <c r="C34" s="81"/>
      <c r="D34" s="81"/>
      <c r="E34" s="81"/>
      <c r="F34" s="81"/>
      <c r="G34" s="84"/>
      <c r="H34" s="81"/>
      <c r="I34" s="80"/>
      <c r="J34" s="81"/>
      <c r="K34" s="81"/>
      <c r="L34" s="81"/>
      <c r="M34" s="81"/>
      <c r="N34" s="81"/>
    </row>
    <row r="35" spans="2:14">
      <c r="B35" s="91"/>
      <c r="C35" s="80"/>
      <c r="D35" s="81"/>
      <c r="E35" s="81"/>
      <c r="F35" s="81"/>
      <c r="G35" s="84"/>
      <c r="H35" s="81"/>
      <c r="I35" s="80"/>
      <c r="J35" s="81"/>
      <c r="K35" s="81"/>
      <c r="L35" s="81"/>
      <c r="M35" s="81"/>
      <c r="N35" s="81"/>
    </row>
    <row r="36" spans="2:14">
      <c r="B36" s="91"/>
      <c r="C36" s="80"/>
      <c r="D36" s="81"/>
      <c r="E36" s="81"/>
      <c r="F36" s="94"/>
      <c r="G36" s="92"/>
      <c r="H36" s="93"/>
      <c r="I36" s="92"/>
      <c r="J36" s="81"/>
      <c r="K36" s="81"/>
      <c r="L36" s="81"/>
      <c r="M36" s="81"/>
      <c r="N36" s="81"/>
    </row>
    <row r="37" spans="2:14">
      <c r="B37" s="91"/>
      <c r="C37" s="80"/>
      <c r="D37" s="79"/>
      <c r="E37" s="80"/>
      <c r="F37" s="81"/>
      <c r="G37" s="80"/>
      <c r="H37" s="81"/>
      <c r="I37" s="80"/>
      <c r="J37" s="81"/>
      <c r="K37" s="81"/>
      <c r="L37" s="81"/>
      <c r="M37" s="81"/>
      <c r="N37" s="81"/>
    </row>
    <row r="38" spans="2:14">
      <c r="B38" s="91"/>
      <c r="C38" s="80"/>
      <c r="D38" s="80"/>
      <c r="E38" s="79"/>
      <c r="F38" s="80"/>
      <c r="G38" s="80"/>
      <c r="H38" s="81"/>
      <c r="I38" s="80"/>
      <c r="J38" s="81"/>
      <c r="K38" s="81"/>
      <c r="L38" s="81"/>
      <c r="M38" s="81"/>
      <c r="N38" s="81"/>
    </row>
    <row r="39" spans="2:14">
      <c r="B39" s="50"/>
      <c r="J39" s="39"/>
      <c r="K39" s="39"/>
      <c r="L39" s="39"/>
      <c r="M39" s="39"/>
      <c r="N39" s="39"/>
    </row>
    <row r="40" spans="2:14">
      <c r="B40" s="50"/>
    </row>
    <row r="41" spans="2:14">
      <c r="B41" s="50"/>
    </row>
    <row r="42" spans="2:14">
      <c r="B42" s="50"/>
      <c r="D42" s="39"/>
    </row>
    <row r="43" spans="2:14">
      <c r="B43" s="50"/>
      <c r="D43" s="44"/>
    </row>
    <row r="44" spans="2:14">
      <c r="B44" s="50"/>
      <c r="F44" s="39"/>
    </row>
    <row r="45" spans="2:14">
      <c r="B45" s="50"/>
    </row>
    <row r="46" spans="2:14">
      <c r="B46" s="50"/>
    </row>
    <row r="47" spans="2:14">
      <c r="B47" s="50"/>
    </row>
    <row r="48" spans="2:14">
      <c r="B48" s="50"/>
    </row>
    <row r="49" spans="2:8">
      <c r="B49" s="50"/>
    </row>
    <row r="50" spans="2:8">
      <c r="B50" s="50"/>
    </row>
    <row r="51" spans="2:8">
      <c r="B51" s="50"/>
    </row>
    <row r="52" spans="2:8">
      <c r="B52" s="50"/>
    </row>
    <row r="53" spans="2:8">
      <c r="B53" s="50"/>
    </row>
    <row r="54" spans="2:8">
      <c r="B54" s="50"/>
    </row>
    <row r="55" spans="2:8">
      <c r="B55" s="50"/>
    </row>
    <row r="56" spans="2:8">
      <c r="B56" s="50"/>
    </row>
    <row r="57" spans="2:8">
      <c r="B57" s="50"/>
    </row>
    <row r="58" spans="2:8">
      <c r="B58" s="50"/>
    </row>
    <row r="59" spans="2:8">
      <c r="B59" s="50"/>
    </row>
    <row r="60" spans="2:8">
      <c r="B60" s="50"/>
    </row>
    <row r="61" spans="2:8">
      <c r="B61" s="50"/>
      <c r="H61" s="49"/>
    </row>
    <row r="62" spans="2:8">
      <c r="B62" s="50"/>
    </row>
    <row r="63" spans="2:8">
      <c r="B63" s="50"/>
    </row>
    <row r="64" spans="2:8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  <row r="74" spans="2:2">
      <c r="B74" s="50"/>
    </row>
    <row r="75" spans="2:2">
      <c r="B75" s="50"/>
    </row>
    <row r="76" spans="2:2">
      <c r="B76" s="50"/>
    </row>
    <row r="77" spans="2:2">
      <c r="B77" s="50"/>
    </row>
    <row r="78" spans="2:2">
      <c r="B78" s="50"/>
    </row>
    <row r="79" spans="2:2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B1:H6"/>
  <sheetViews>
    <sheetView tabSelected="1" view="pageBreakPreview" topLeftCell="A19" zoomScale="85" zoomScaleNormal="100" zoomScaleSheetLayoutView="85" workbookViewId="0">
      <selection activeCell="E8" sqref="E8"/>
    </sheetView>
  </sheetViews>
  <sheetFormatPr defaultRowHeight="23.25"/>
  <cols>
    <col min="1" max="1" width="14.5" style="1" customWidth="1"/>
    <col min="2" max="2" width="33.5" style="1" customWidth="1"/>
    <col min="3" max="3" width="19.5" style="1" customWidth="1"/>
    <col min="4" max="4" width="17.375" style="1" customWidth="1"/>
    <col min="5" max="5" width="18" style="1" customWidth="1"/>
    <col min="6" max="6" width="17.75" style="1" customWidth="1"/>
    <col min="7" max="7" width="17.125" style="1" customWidth="1"/>
    <col min="8" max="8" width="17.625" style="1" customWidth="1"/>
    <col min="9" max="16384" width="9" style="1"/>
  </cols>
  <sheetData>
    <row r="1" spans="2:8">
      <c r="B1" s="154" t="s">
        <v>69</v>
      </c>
      <c r="C1" s="154"/>
      <c r="D1" s="154"/>
      <c r="E1" s="154"/>
      <c r="F1" s="154"/>
      <c r="G1" s="154"/>
      <c r="H1" s="154"/>
    </row>
    <row r="2" spans="2:8">
      <c r="B2" s="155" t="s">
        <v>90</v>
      </c>
      <c r="C2" s="155"/>
      <c r="D2" s="155"/>
      <c r="E2" s="155"/>
      <c r="F2" s="155"/>
      <c r="G2" s="155"/>
      <c r="H2" s="155"/>
    </row>
    <row r="3" spans="2:8">
      <c r="B3" s="24" t="s">
        <v>41</v>
      </c>
      <c r="C3" s="24" t="s">
        <v>42</v>
      </c>
      <c r="D3" s="24" t="s">
        <v>32</v>
      </c>
      <c r="E3" s="24" t="s">
        <v>43</v>
      </c>
      <c r="F3" s="24" t="s">
        <v>44</v>
      </c>
      <c r="G3" s="24" t="s">
        <v>33</v>
      </c>
      <c r="H3" s="37" t="s">
        <v>27</v>
      </c>
    </row>
    <row r="4" spans="2:8">
      <c r="B4" s="5" t="s">
        <v>45</v>
      </c>
      <c r="C4" s="82">
        <v>80.364900000000006</v>
      </c>
      <c r="D4" s="82">
        <v>85.600499999999997</v>
      </c>
      <c r="E4" s="82">
        <v>24.448699999999999</v>
      </c>
      <c r="F4" s="82">
        <v>5.3624999999999998</v>
      </c>
      <c r="G4" s="82">
        <v>102.9688</v>
      </c>
      <c r="H4" s="83">
        <f>SUM(C4:G4)</f>
        <v>298.74540000000002</v>
      </c>
    </row>
    <row r="5" spans="2:8">
      <c r="B5" s="5" t="s">
        <v>46</v>
      </c>
      <c r="C5" s="117">
        <v>52.705539999999999</v>
      </c>
      <c r="D5" s="117">
        <v>45.170934000000003</v>
      </c>
      <c r="E5" s="117">
        <v>3.54745</v>
      </c>
      <c r="F5" s="117">
        <v>5.3593999999999999</v>
      </c>
      <c r="G5" s="117">
        <v>31.880519</v>
      </c>
      <c r="H5" s="83">
        <f>SUM(C5:G5)</f>
        <v>138.66384299999999</v>
      </c>
    </row>
    <row r="6" spans="2:8">
      <c r="B6" s="5" t="s">
        <v>34</v>
      </c>
      <c r="C6" s="38">
        <f t="shared" ref="C6:G6" si="0">(C5/C4)*100/100</f>
        <v>0.65582785519548947</v>
      </c>
      <c r="D6" s="38">
        <f t="shared" si="0"/>
        <v>0.52769474477368716</v>
      </c>
      <c r="E6" s="38">
        <f t="shared" si="0"/>
        <v>0.14509769435593714</v>
      </c>
      <c r="F6" s="38">
        <f t="shared" si="0"/>
        <v>0.99942191142191139</v>
      </c>
      <c r="G6" s="38">
        <f t="shared" si="0"/>
        <v>0.3096133877446372</v>
      </c>
      <c r="H6" s="38">
        <f>(H5/H4)*100/100</f>
        <v>0.46415390161656039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12" sqref="C12"/>
    </sheetView>
  </sheetViews>
  <sheetFormatPr defaultColWidth="11.5" defaultRowHeight="26.25" customHeight="1"/>
  <cols>
    <col min="1" max="1" width="19.5" style="103" customWidth="1"/>
    <col min="2" max="2" width="24.5" style="112" customWidth="1"/>
    <col min="3" max="3" width="16.375" style="103" bestFit="1" customWidth="1"/>
    <col min="4" max="4" width="11.5" style="103"/>
    <col min="5" max="5" width="16.375" style="103" bestFit="1" customWidth="1"/>
    <col min="6" max="6" width="18" style="103" customWidth="1"/>
    <col min="7" max="16384" width="11.5" style="103"/>
  </cols>
  <sheetData>
    <row r="1" spans="1:6" ht="26.25" customHeight="1">
      <c r="A1" s="104" t="s">
        <v>41</v>
      </c>
      <c r="B1" s="108" t="s">
        <v>72</v>
      </c>
    </row>
    <row r="2" spans="1:6" ht="26.25" customHeight="1">
      <c r="A2" s="105" t="s">
        <v>70</v>
      </c>
      <c r="B2" s="109">
        <v>80364900</v>
      </c>
    </row>
    <row r="3" spans="1:6" ht="26.25" customHeight="1">
      <c r="A3" s="106" t="s">
        <v>32</v>
      </c>
      <c r="B3" s="110">
        <v>85600500</v>
      </c>
    </row>
    <row r="4" spans="1:6" ht="26.25" customHeight="1">
      <c r="A4" s="106" t="s">
        <v>43</v>
      </c>
      <c r="B4" s="110">
        <v>24628700</v>
      </c>
    </row>
    <row r="5" spans="1:6" ht="26.25" customHeight="1">
      <c r="A5" s="106" t="s">
        <v>71</v>
      </c>
      <c r="B5" s="110">
        <v>5362500</v>
      </c>
    </row>
    <row r="6" spans="1:6" ht="26.25" customHeight="1">
      <c r="A6" s="107" t="s">
        <v>33</v>
      </c>
      <c r="B6" s="111">
        <v>102968800</v>
      </c>
    </row>
    <row r="7" spans="1:6" ht="26.25" customHeight="1">
      <c r="A7" s="104" t="s">
        <v>27</v>
      </c>
      <c r="B7" s="113">
        <f>SUM(B2:B6)</f>
        <v>298925400</v>
      </c>
    </row>
    <row r="9" spans="1:6" ht="26.25" customHeight="1">
      <c r="E9" s="112"/>
      <c r="F9" s="112"/>
    </row>
    <row r="10" spans="1:6" ht="26.25" customHeight="1">
      <c r="A10" s="115">
        <f>+B7*33.14/100</f>
        <v>99063877.560000002</v>
      </c>
      <c r="C10" s="114"/>
      <c r="E10" s="112"/>
      <c r="F10" s="112"/>
    </row>
    <row r="11" spans="1:6" ht="26.25" customHeight="1">
      <c r="A11" s="115">
        <f>+B7*22.88/100</f>
        <v>68394131.519999996</v>
      </c>
      <c r="C11" s="114"/>
      <c r="F11" s="112"/>
    </row>
    <row r="12" spans="1:6" ht="26.25" customHeight="1">
      <c r="A12" s="115">
        <f>+B7*24.16/100</f>
        <v>72220376.640000001</v>
      </c>
      <c r="C12" s="114"/>
      <c r="F12" s="112"/>
    </row>
    <row r="13" spans="1:6" ht="26.25" customHeight="1">
      <c r="A13" s="115">
        <f>+B7*19.82/100</f>
        <v>59247014.280000001</v>
      </c>
      <c r="F13" s="112"/>
    </row>
    <row r="14" spans="1:6" ht="26.25" customHeight="1">
      <c r="A14" s="116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97G8F2S</cp:lastModifiedBy>
  <cp:lastPrinted>2017-04-12T06:35:58Z</cp:lastPrinted>
  <dcterms:created xsi:type="dcterms:W3CDTF">2012-10-24T13:34:27Z</dcterms:created>
  <dcterms:modified xsi:type="dcterms:W3CDTF">2017-06-14T04:38:56Z</dcterms:modified>
</cp:coreProperties>
</file>