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B4F7093-9A85-4BF0-990A-3496EB45BD9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WN" sheetId="20" r:id="rId1"/>
    <sheet name="Penawaran SEWN" sheetId="28" r:id="rId2"/>
    <sheet name="PVSE" sheetId="27" r:id="rId3"/>
    <sheet name="Penawaran PVSE" sheetId="32" r:id="rId4"/>
    <sheet name="PEOM" sheetId="25" r:id="rId5"/>
    <sheet name="Penawaran PEOM" sheetId="33" r:id="rId6"/>
    <sheet name="BBOM" sheetId="26" r:id="rId7"/>
    <sheet name="Penawaran BBOM" sheetId="34" r:id="rId8"/>
    <sheet name="Sheet3" sheetId="37" r:id="rId9"/>
    <sheet name="Sheet2" sheetId="36" r:id="rId10"/>
  </sheets>
  <definedNames>
    <definedName name="_xlnm.Print_Area" localSheetId="6">BBOM!$A$1:$N$45</definedName>
    <definedName name="_xlnm.Print_Area" localSheetId="4">PEOM!$A$1:$N$45</definedName>
    <definedName name="_xlnm.Print_Area" localSheetId="2">PVSE!$A$1:$N$45</definedName>
    <definedName name="_xlnm.Print_Area" localSheetId="0">SEWN!$A$1:$N$45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20" l="1"/>
  <c r="U16" i="20" s="1"/>
  <c r="V16" i="20" s="1"/>
  <c r="U15" i="20"/>
  <c r="V15" i="20" s="1"/>
  <c r="U14" i="20"/>
  <c r="V14" i="20" s="1"/>
  <c r="V13" i="20"/>
  <c r="U13" i="20"/>
  <c r="T12" i="20"/>
  <c r="U12" i="20" s="1"/>
  <c r="V12" i="20" s="1"/>
  <c r="T11" i="20"/>
  <c r="U11" i="20" s="1"/>
  <c r="V11" i="20" s="1"/>
  <c r="V10" i="20"/>
  <c r="U10" i="20"/>
  <c r="T10" i="20"/>
  <c r="U9" i="20"/>
  <c r="V9" i="20" s="1"/>
  <c r="T9" i="20"/>
  <c r="T8" i="20"/>
  <c r="U8" i="20" s="1"/>
  <c r="V8" i="20" s="1"/>
  <c r="T7" i="20"/>
  <c r="U7" i="20" s="1"/>
  <c r="V7" i="20" s="1"/>
  <c r="T6" i="20"/>
  <c r="U6" i="20" s="1"/>
  <c r="V6" i="20" s="1"/>
  <c r="U5" i="20"/>
  <c r="V5" i="20" s="1"/>
  <c r="T5" i="20"/>
  <c r="T4" i="20"/>
  <c r="U4" i="20" s="1"/>
  <c r="V4" i="20" s="1"/>
  <c r="U3" i="20"/>
  <c r="V3" i="20" s="1"/>
  <c r="U16" i="27"/>
  <c r="V16" i="27" s="1"/>
  <c r="T16" i="27"/>
  <c r="U15" i="27"/>
  <c r="V15" i="27" s="1"/>
  <c r="U14" i="27"/>
  <c r="V14" i="27" s="1"/>
  <c r="V13" i="27"/>
  <c r="U13" i="27"/>
  <c r="T12" i="27"/>
  <c r="U12" i="27" s="1"/>
  <c r="V12" i="27" s="1"/>
  <c r="T11" i="27"/>
  <c r="U11" i="27" s="1"/>
  <c r="V11" i="27" s="1"/>
  <c r="T10" i="27"/>
  <c r="U10" i="27" s="1"/>
  <c r="V10" i="27" s="1"/>
  <c r="T9" i="27"/>
  <c r="U9" i="27" s="1"/>
  <c r="V9" i="27" s="1"/>
  <c r="T8" i="27"/>
  <c r="U8" i="27" s="1"/>
  <c r="V8" i="27" s="1"/>
  <c r="U7" i="27"/>
  <c r="V7" i="27" s="1"/>
  <c r="T7" i="27"/>
  <c r="U6" i="27"/>
  <c r="V6" i="27" s="1"/>
  <c r="T6" i="27"/>
  <c r="U5" i="27"/>
  <c r="V5" i="27" s="1"/>
  <c r="T5" i="27"/>
  <c r="T4" i="27"/>
  <c r="U4" i="27" s="1"/>
  <c r="V4" i="27" s="1"/>
  <c r="V3" i="27"/>
  <c r="U3" i="27"/>
  <c r="T16" i="25"/>
  <c r="U16" i="25" s="1"/>
  <c r="V16" i="25" s="1"/>
  <c r="U15" i="25"/>
  <c r="V15" i="25" s="1"/>
  <c r="U14" i="25"/>
  <c r="V14" i="25" s="1"/>
  <c r="V13" i="25"/>
  <c r="U13" i="25"/>
  <c r="U12" i="25"/>
  <c r="V12" i="25" s="1"/>
  <c r="T12" i="25"/>
  <c r="T11" i="25"/>
  <c r="U11" i="25" s="1"/>
  <c r="V11" i="25" s="1"/>
  <c r="V10" i="25"/>
  <c r="U10" i="25"/>
  <c r="T10" i="25"/>
  <c r="T9" i="25"/>
  <c r="U9" i="25" s="1"/>
  <c r="V9" i="25" s="1"/>
  <c r="T8" i="25"/>
  <c r="U8" i="25" s="1"/>
  <c r="V8" i="25" s="1"/>
  <c r="T7" i="25"/>
  <c r="U7" i="25" s="1"/>
  <c r="V7" i="25" s="1"/>
  <c r="T6" i="25"/>
  <c r="U6" i="25" s="1"/>
  <c r="V6" i="25" s="1"/>
  <c r="U5" i="25"/>
  <c r="V5" i="25" s="1"/>
  <c r="T5" i="25"/>
  <c r="U4" i="25"/>
  <c r="V4" i="25" s="1"/>
  <c r="T4" i="25"/>
  <c r="U3" i="25"/>
  <c r="V3" i="25" s="1"/>
  <c r="U3" i="26" l="1"/>
  <c r="V3" i="26" s="1"/>
  <c r="U13" i="26"/>
  <c r="V13" i="26" s="1"/>
  <c r="T16" i="26"/>
  <c r="U16" i="26" s="1"/>
  <c r="V16" i="26" s="1"/>
  <c r="T12" i="26"/>
  <c r="U12" i="26" s="1"/>
  <c r="V12" i="26" s="1"/>
  <c r="U15" i="26"/>
  <c r="V15" i="26" s="1"/>
  <c r="U14" i="26"/>
  <c r="V14" i="26" s="1"/>
  <c r="T11" i="26" l="1"/>
  <c r="U11" i="26" s="1"/>
  <c r="V11" i="26" s="1"/>
  <c r="T10" i="26"/>
  <c r="U10" i="26" s="1"/>
  <c r="V10" i="26" s="1"/>
  <c r="U9" i="26"/>
  <c r="V9" i="26" s="1"/>
  <c r="T9" i="26"/>
  <c r="T8" i="26"/>
  <c r="U8" i="26" s="1"/>
  <c r="V8" i="26" s="1"/>
  <c r="U7" i="26"/>
  <c r="V7" i="26" s="1"/>
  <c r="T7" i="26"/>
  <c r="V6" i="26"/>
  <c r="U6" i="26"/>
  <c r="T6" i="26"/>
  <c r="U5" i="26"/>
  <c r="V5" i="26" s="1"/>
  <c r="T5" i="26"/>
  <c r="T4" i="26"/>
  <c r="U4" i="26" s="1"/>
  <c r="V4" i="26" s="1"/>
  <c r="H25" i="32" l="1"/>
  <c r="H24" i="32"/>
  <c r="H23" i="32"/>
  <c r="T66" i="26" l="1"/>
  <c r="U66" i="26" s="1"/>
  <c r="V66" i="26" s="1"/>
  <c r="T65" i="26"/>
  <c r="U65" i="26" s="1"/>
  <c r="V65" i="26" s="1"/>
  <c r="U64" i="26"/>
  <c r="V64" i="26" s="1"/>
  <c r="T64" i="26"/>
  <c r="T63" i="26"/>
  <c r="U63" i="26" s="1"/>
  <c r="V63" i="26" s="1"/>
  <c r="T62" i="26"/>
  <c r="U62" i="26" s="1"/>
  <c r="V62" i="26" s="1"/>
  <c r="T61" i="26"/>
  <c r="U61" i="26" s="1"/>
  <c r="V61" i="26" s="1"/>
  <c r="T60" i="26"/>
  <c r="U60" i="26" s="1"/>
  <c r="V60" i="26" s="1"/>
  <c r="T59" i="26"/>
  <c r="U59" i="26" s="1"/>
  <c r="V59" i="26" s="1"/>
  <c r="T58" i="26"/>
  <c r="U58" i="26" s="1"/>
  <c r="V58" i="26" s="1"/>
  <c r="T57" i="26"/>
  <c r="U57" i="26" s="1"/>
  <c r="V57" i="26" s="1"/>
  <c r="U56" i="26"/>
  <c r="V56" i="26" s="1"/>
  <c r="T56" i="26"/>
  <c r="T55" i="26"/>
  <c r="U55" i="26" s="1"/>
  <c r="V55" i="26" s="1"/>
  <c r="T54" i="26"/>
  <c r="U54" i="26" s="1"/>
  <c r="V54" i="26" s="1"/>
  <c r="T53" i="26"/>
  <c r="U53" i="26" s="1"/>
  <c r="V53" i="26" s="1"/>
  <c r="T52" i="26"/>
  <c r="U52" i="26" s="1"/>
  <c r="V52" i="26" s="1"/>
  <c r="T51" i="26"/>
  <c r="U51" i="26" s="1"/>
  <c r="V51" i="26" s="1"/>
  <c r="T50" i="26"/>
  <c r="U50" i="26" s="1"/>
  <c r="V50" i="26" s="1"/>
  <c r="T49" i="26"/>
  <c r="U49" i="26" s="1"/>
  <c r="V49" i="26" s="1"/>
  <c r="U48" i="26"/>
  <c r="V48" i="26" s="1"/>
  <c r="T48" i="26"/>
  <c r="T47" i="26"/>
  <c r="U47" i="26" s="1"/>
  <c r="V47" i="26" s="1"/>
  <c r="T46" i="26"/>
  <c r="U46" i="26" s="1"/>
  <c r="V46" i="26" s="1"/>
  <c r="T45" i="26"/>
  <c r="U45" i="26" s="1"/>
  <c r="V45" i="26" s="1"/>
  <c r="T44" i="26"/>
  <c r="U44" i="26" s="1"/>
  <c r="V44" i="26" s="1"/>
  <c r="T43" i="26"/>
  <c r="U43" i="26" s="1"/>
  <c r="V43" i="26" s="1"/>
  <c r="T42" i="26"/>
  <c r="U42" i="26" s="1"/>
  <c r="V42" i="26" s="1"/>
  <c r="T41" i="26"/>
  <c r="U41" i="26" s="1"/>
  <c r="V41" i="26" s="1"/>
  <c r="U40" i="26"/>
  <c r="V40" i="26" s="1"/>
  <c r="T40" i="26"/>
  <c r="T39" i="26"/>
  <c r="U39" i="26" s="1"/>
  <c r="V39" i="26" s="1"/>
  <c r="T38" i="26"/>
  <c r="U38" i="26" s="1"/>
  <c r="V38" i="26" s="1"/>
  <c r="T37" i="26"/>
  <c r="U37" i="26" s="1"/>
  <c r="V37" i="26" s="1"/>
  <c r="T36" i="26"/>
  <c r="U36" i="26" s="1"/>
  <c r="V36" i="26" s="1"/>
  <c r="T35" i="26"/>
  <c r="U35" i="26" s="1"/>
  <c r="V35" i="26" s="1"/>
  <c r="T34" i="26"/>
  <c r="U34" i="26" s="1"/>
  <c r="V34" i="26" s="1"/>
  <c r="U33" i="26"/>
  <c r="V33" i="26" s="1"/>
  <c r="T33" i="26"/>
  <c r="U32" i="26"/>
  <c r="V32" i="26" s="1"/>
  <c r="T32" i="26"/>
  <c r="T31" i="26"/>
  <c r="U31" i="26" s="1"/>
  <c r="V31" i="26" s="1"/>
  <c r="T30" i="26"/>
  <c r="U30" i="26" s="1"/>
  <c r="V30" i="26" s="1"/>
  <c r="T29" i="26"/>
  <c r="U29" i="26" s="1"/>
  <c r="V29" i="26" s="1"/>
  <c r="T28" i="26"/>
  <c r="U28" i="26" s="1"/>
  <c r="V28" i="26" s="1"/>
  <c r="T27" i="26"/>
  <c r="U27" i="26" s="1"/>
  <c r="V27" i="26" s="1"/>
  <c r="T26" i="26"/>
  <c r="U26" i="26" s="1"/>
  <c r="V26" i="26" s="1"/>
  <c r="U25" i="26"/>
  <c r="V25" i="26" s="1"/>
  <c r="T25" i="26"/>
  <c r="U24" i="26"/>
  <c r="V24" i="26" s="1"/>
  <c r="U23" i="26"/>
  <c r="V23" i="26" s="1"/>
  <c r="U22" i="26"/>
  <c r="V22" i="26" s="1"/>
  <c r="V21" i="26"/>
  <c r="U21" i="26"/>
  <c r="T66" i="25"/>
  <c r="U66" i="25" s="1"/>
  <c r="V66" i="25" s="1"/>
  <c r="T65" i="25"/>
  <c r="U65" i="25" s="1"/>
  <c r="V65" i="25" s="1"/>
  <c r="U64" i="25"/>
  <c r="V64" i="25" s="1"/>
  <c r="T64" i="25"/>
  <c r="T63" i="25"/>
  <c r="U63" i="25" s="1"/>
  <c r="V63" i="25" s="1"/>
  <c r="T62" i="25"/>
  <c r="U62" i="25" s="1"/>
  <c r="V62" i="25" s="1"/>
  <c r="T61" i="25"/>
  <c r="U61" i="25" s="1"/>
  <c r="V61" i="25" s="1"/>
  <c r="U60" i="25"/>
  <c r="V60" i="25" s="1"/>
  <c r="T60" i="25"/>
  <c r="T59" i="25"/>
  <c r="U59" i="25" s="1"/>
  <c r="V59" i="25" s="1"/>
  <c r="U58" i="25"/>
  <c r="V58" i="25" s="1"/>
  <c r="T58" i="25"/>
  <c r="T57" i="25"/>
  <c r="U57" i="25" s="1"/>
  <c r="V57" i="25" s="1"/>
  <c r="U56" i="25"/>
  <c r="V56" i="25" s="1"/>
  <c r="T56" i="25"/>
  <c r="T55" i="25"/>
  <c r="U55" i="25" s="1"/>
  <c r="V55" i="25" s="1"/>
  <c r="U54" i="25"/>
  <c r="V54" i="25" s="1"/>
  <c r="T54" i="25"/>
  <c r="T53" i="25"/>
  <c r="U53" i="25" s="1"/>
  <c r="V53" i="25" s="1"/>
  <c r="U52" i="25"/>
  <c r="V52" i="25" s="1"/>
  <c r="T52" i="25"/>
  <c r="T51" i="25"/>
  <c r="U51" i="25" s="1"/>
  <c r="V51" i="25" s="1"/>
  <c r="T50" i="25"/>
  <c r="U50" i="25" s="1"/>
  <c r="V50" i="25" s="1"/>
  <c r="T49" i="25"/>
  <c r="U49" i="25" s="1"/>
  <c r="V49" i="25" s="1"/>
  <c r="T48" i="25"/>
  <c r="U48" i="25" s="1"/>
  <c r="V48" i="25" s="1"/>
  <c r="T47" i="25"/>
  <c r="U47" i="25" s="1"/>
  <c r="V47" i="25" s="1"/>
  <c r="T46" i="25"/>
  <c r="U46" i="25" s="1"/>
  <c r="V46" i="25" s="1"/>
  <c r="T45" i="25"/>
  <c r="U45" i="25" s="1"/>
  <c r="V45" i="25" s="1"/>
  <c r="T44" i="25"/>
  <c r="U44" i="25" s="1"/>
  <c r="V44" i="25" s="1"/>
  <c r="T43" i="25"/>
  <c r="U43" i="25" s="1"/>
  <c r="V43" i="25" s="1"/>
  <c r="U42" i="25"/>
  <c r="V42" i="25" s="1"/>
  <c r="T42" i="25"/>
  <c r="T41" i="25"/>
  <c r="U41" i="25" s="1"/>
  <c r="V41" i="25" s="1"/>
  <c r="T40" i="25"/>
  <c r="U40" i="25" s="1"/>
  <c r="V40" i="25" s="1"/>
  <c r="T39" i="25"/>
  <c r="U39" i="25" s="1"/>
  <c r="V39" i="25" s="1"/>
  <c r="U38" i="25"/>
  <c r="V38" i="25" s="1"/>
  <c r="T38" i="25"/>
  <c r="T37" i="25"/>
  <c r="U37" i="25" s="1"/>
  <c r="V37" i="25" s="1"/>
  <c r="T36" i="25"/>
  <c r="U36" i="25" s="1"/>
  <c r="V36" i="25" s="1"/>
  <c r="T35" i="25"/>
  <c r="U35" i="25" s="1"/>
  <c r="V35" i="25" s="1"/>
  <c r="T34" i="25"/>
  <c r="U34" i="25" s="1"/>
  <c r="V34" i="25" s="1"/>
  <c r="T33" i="25"/>
  <c r="U33" i="25" s="1"/>
  <c r="V33" i="25" s="1"/>
  <c r="T32" i="25"/>
  <c r="U32" i="25" s="1"/>
  <c r="V32" i="25" s="1"/>
  <c r="T31" i="25"/>
  <c r="U31" i="25" s="1"/>
  <c r="V31" i="25" s="1"/>
  <c r="U30" i="25"/>
  <c r="V30" i="25" s="1"/>
  <c r="T30" i="25"/>
  <c r="T29" i="25"/>
  <c r="U29" i="25" s="1"/>
  <c r="V29" i="25" s="1"/>
  <c r="U28" i="25"/>
  <c r="V28" i="25" s="1"/>
  <c r="T28" i="25"/>
  <c r="T27" i="25"/>
  <c r="U27" i="25" s="1"/>
  <c r="V27" i="25" s="1"/>
  <c r="T26" i="25"/>
  <c r="U26" i="25" s="1"/>
  <c r="V26" i="25" s="1"/>
  <c r="T25" i="25"/>
  <c r="U25" i="25" s="1"/>
  <c r="V25" i="25" s="1"/>
  <c r="U24" i="25"/>
  <c r="V24" i="25" s="1"/>
  <c r="U23" i="25"/>
  <c r="V23" i="25" s="1"/>
  <c r="U22" i="25"/>
  <c r="V22" i="25" s="1"/>
  <c r="U21" i="25"/>
  <c r="V21" i="25" s="1"/>
  <c r="T66" i="27"/>
  <c r="U66" i="27" s="1"/>
  <c r="V66" i="27" s="1"/>
  <c r="T65" i="27"/>
  <c r="U65" i="27" s="1"/>
  <c r="V65" i="27" s="1"/>
  <c r="U64" i="27"/>
  <c r="V64" i="27" s="1"/>
  <c r="T64" i="27"/>
  <c r="T63" i="27"/>
  <c r="U63" i="27" s="1"/>
  <c r="V63" i="27" s="1"/>
  <c r="T62" i="27"/>
  <c r="U62" i="27" s="1"/>
  <c r="V62" i="27" s="1"/>
  <c r="U61" i="27"/>
  <c r="V61" i="27" s="1"/>
  <c r="T61" i="27"/>
  <c r="T60" i="27"/>
  <c r="U60" i="27" s="1"/>
  <c r="V60" i="27" s="1"/>
  <c r="T59" i="27"/>
  <c r="U59" i="27" s="1"/>
  <c r="V59" i="27" s="1"/>
  <c r="T58" i="27"/>
  <c r="U58" i="27" s="1"/>
  <c r="V58" i="27" s="1"/>
  <c r="U57" i="27"/>
  <c r="V57" i="27" s="1"/>
  <c r="T57" i="27"/>
  <c r="T56" i="27"/>
  <c r="U56" i="27" s="1"/>
  <c r="V56" i="27" s="1"/>
  <c r="T55" i="27"/>
  <c r="U55" i="27" s="1"/>
  <c r="V55" i="27" s="1"/>
  <c r="T54" i="27"/>
  <c r="U54" i="27" s="1"/>
  <c r="V54" i="27" s="1"/>
  <c r="T53" i="27"/>
  <c r="U53" i="27" s="1"/>
  <c r="V53" i="27" s="1"/>
  <c r="T52" i="27"/>
  <c r="U52" i="27" s="1"/>
  <c r="V52" i="27" s="1"/>
  <c r="T51" i="27"/>
  <c r="U51" i="27" s="1"/>
  <c r="V51" i="27" s="1"/>
  <c r="T50" i="27"/>
  <c r="U50" i="27" s="1"/>
  <c r="V50" i="27" s="1"/>
  <c r="T49" i="27"/>
  <c r="U49" i="27" s="1"/>
  <c r="V49" i="27" s="1"/>
  <c r="U48" i="27"/>
  <c r="V48" i="27" s="1"/>
  <c r="T48" i="27"/>
  <c r="T47" i="27"/>
  <c r="U47" i="27" s="1"/>
  <c r="V47" i="27" s="1"/>
  <c r="T46" i="27"/>
  <c r="U46" i="27" s="1"/>
  <c r="V46" i="27" s="1"/>
  <c r="U45" i="27"/>
  <c r="V45" i="27" s="1"/>
  <c r="T45" i="27"/>
  <c r="T44" i="27"/>
  <c r="U44" i="27" s="1"/>
  <c r="V44" i="27" s="1"/>
  <c r="T43" i="27"/>
  <c r="U43" i="27" s="1"/>
  <c r="V43" i="27" s="1"/>
  <c r="T42" i="27"/>
  <c r="U42" i="27" s="1"/>
  <c r="V42" i="27" s="1"/>
  <c r="U41" i="27"/>
  <c r="V41" i="27" s="1"/>
  <c r="T41" i="27"/>
  <c r="U40" i="27"/>
  <c r="V40" i="27" s="1"/>
  <c r="T40" i="27"/>
  <c r="T39" i="27"/>
  <c r="U39" i="27" s="1"/>
  <c r="V39" i="27" s="1"/>
  <c r="T38" i="27"/>
  <c r="U38" i="27" s="1"/>
  <c r="V38" i="27" s="1"/>
  <c r="T37" i="27"/>
  <c r="U37" i="27" s="1"/>
  <c r="V37" i="27" s="1"/>
  <c r="T36" i="27"/>
  <c r="U36" i="27" s="1"/>
  <c r="V36" i="27" s="1"/>
  <c r="T35" i="27"/>
  <c r="U35" i="27" s="1"/>
  <c r="V35" i="27" s="1"/>
  <c r="T34" i="27"/>
  <c r="U34" i="27" s="1"/>
  <c r="V34" i="27" s="1"/>
  <c r="T33" i="27"/>
  <c r="U33" i="27" s="1"/>
  <c r="V33" i="27" s="1"/>
  <c r="U32" i="27"/>
  <c r="V32" i="27" s="1"/>
  <c r="T32" i="27"/>
  <c r="T31" i="27"/>
  <c r="U31" i="27" s="1"/>
  <c r="V31" i="27" s="1"/>
  <c r="T30" i="27"/>
  <c r="U30" i="27" s="1"/>
  <c r="V30" i="27" s="1"/>
  <c r="T29" i="27"/>
  <c r="U29" i="27" s="1"/>
  <c r="V29" i="27" s="1"/>
  <c r="T28" i="27"/>
  <c r="U28" i="27" s="1"/>
  <c r="V28" i="27" s="1"/>
  <c r="T27" i="27"/>
  <c r="U27" i="27" s="1"/>
  <c r="V27" i="27" s="1"/>
  <c r="T26" i="27"/>
  <c r="U26" i="27" s="1"/>
  <c r="V26" i="27" s="1"/>
  <c r="T25" i="27"/>
  <c r="U25" i="27" s="1"/>
  <c r="V25" i="27" s="1"/>
  <c r="U24" i="27"/>
  <c r="V24" i="27" s="1"/>
  <c r="U23" i="27"/>
  <c r="V23" i="27" s="1"/>
  <c r="U22" i="27"/>
  <c r="V22" i="27" s="1"/>
  <c r="U21" i="27"/>
  <c r="V21" i="27" s="1"/>
  <c r="G23" i="37" l="1"/>
  <c r="P5" i="37" s="1"/>
  <c r="T66" i="20" l="1"/>
  <c r="T65" i="20"/>
  <c r="T64" i="20"/>
  <c r="T63" i="20"/>
  <c r="T62" i="20"/>
  <c r="T61" i="20"/>
  <c r="T60" i="20"/>
  <c r="T59" i="20"/>
  <c r="T58" i="20"/>
  <c r="T57" i="20"/>
  <c r="T56" i="20"/>
  <c r="T55" i="20"/>
  <c r="T54" i="20"/>
  <c r="T53" i="20"/>
  <c r="T52" i="20"/>
  <c r="T51" i="20"/>
  <c r="T50" i="20"/>
  <c r="T49" i="20"/>
  <c r="T48" i="20"/>
  <c r="T47" i="20"/>
  <c r="T46" i="20"/>
  <c r="T29" i="20"/>
  <c r="T45" i="20"/>
  <c r="T44" i="20"/>
  <c r="T43" i="20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8" i="20"/>
  <c r="T27" i="20"/>
  <c r="T26" i="20"/>
  <c r="T25" i="20"/>
  <c r="U24" i="20"/>
  <c r="V24" i="20" s="1"/>
  <c r="U23" i="20"/>
  <c r="V23" i="20" s="1"/>
  <c r="U22" i="20"/>
  <c r="V22" i="20" s="1"/>
  <c r="U21" i="20"/>
  <c r="V21" i="20" s="1"/>
  <c r="L19" i="20"/>
  <c r="M19" i="20" s="1"/>
  <c r="N19" i="20" s="1"/>
  <c r="D19" i="20"/>
  <c r="B19" i="20"/>
  <c r="H22" i="37" l="1"/>
  <c r="H21" i="37"/>
  <c r="H20" i="37"/>
  <c r="H19" i="37"/>
  <c r="H18" i="37"/>
  <c r="H17" i="37"/>
  <c r="H16" i="37"/>
  <c r="H15" i="37"/>
  <c r="H14" i="37"/>
  <c r="P10" i="37"/>
  <c r="Q5" i="37" s="1"/>
  <c r="P9" i="37"/>
  <c r="P8" i="37"/>
  <c r="P7" i="37"/>
  <c r="Q7" i="37" s="1"/>
  <c r="P6" i="37"/>
  <c r="P4" i="37"/>
  <c r="Q4" i="37" s="1"/>
  <c r="P3" i="37"/>
  <c r="P2" i="37"/>
  <c r="Q2" i="37" s="1"/>
  <c r="Q6" i="37" l="1"/>
  <c r="Q8" i="37"/>
  <c r="Q9" i="37"/>
  <c r="Q3" i="37"/>
  <c r="H23" i="37"/>
  <c r="O26" i="27"/>
  <c r="D12" i="20"/>
  <c r="L50" i="27" l="1"/>
  <c r="K15" i="27" l="1"/>
  <c r="H13" i="20" l="1"/>
  <c r="H12" i="20"/>
  <c r="H11" i="20"/>
  <c r="L20" i="26" l="1"/>
  <c r="M20" i="26" s="1"/>
  <c r="N20" i="26" s="1"/>
  <c r="D20" i="26"/>
  <c r="B20" i="26"/>
  <c r="L20" i="25"/>
  <c r="M20" i="25" s="1"/>
  <c r="N20" i="25" s="1"/>
  <c r="D20" i="25"/>
  <c r="B20" i="25"/>
  <c r="F11" i="27" l="1"/>
  <c r="F15" i="27" l="1"/>
  <c r="F13" i="27"/>
  <c r="F12" i="27"/>
  <c r="X173" i="26"/>
  <c r="U173" i="26"/>
  <c r="R173" i="26"/>
  <c r="X172" i="26"/>
  <c r="U172" i="26"/>
  <c r="R172" i="26"/>
  <c r="V172" i="26" s="1"/>
  <c r="X171" i="26"/>
  <c r="U171" i="26"/>
  <c r="R171" i="26"/>
  <c r="V171" i="26" s="1"/>
  <c r="X170" i="26"/>
  <c r="U170" i="26"/>
  <c r="R170" i="26"/>
  <c r="V170" i="26" s="1"/>
  <c r="X169" i="26"/>
  <c r="U169" i="26"/>
  <c r="R169" i="26"/>
  <c r="V169" i="26" s="1"/>
  <c r="X168" i="26"/>
  <c r="U168" i="26"/>
  <c r="R168" i="26"/>
  <c r="V168" i="26" s="1"/>
  <c r="X167" i="26"/>
  <c r="U167" i="26"/>
  <c r="R167" i="26"/>
  <c r="X166" i="26"/>
  <c r="U166" i="26"/>
  <c r="R166" i="26"/>
  <c r="V166" i="26" s="1"/>
  <c r="X165" i="26"/>
  <c r="U165" i="26"/>
  <c r="R165" i="26"/>
  <c r="V165" i="26" s="1"/>
  <c r="X164" i="26"/>
  <c r="U164" i="26"/>
  <c r="R164" i="26"/>
  <c r="V164" i="26" s="1"/>
  <c r="X163" i="26"/>
  <c r="U163" i="26"/>
  <c r="R163" i="26"/>
  <c r="V163" i="26" s="1"/>
  <c r="X162" i="26"/>
  <c r="U162" i="26"/>
  <c r="R162" i="26"/>
  <c r="V162" i="26" s="1"/>
  <c r="X161" i="26"/>
  <c r="U161" i="26"/>
  <c r="R161" i="26"/>
  <c r="V161" i="26" s="1"/>
  <c r="X160" i="26"/>
  <c r="U160" i="26"/>
  <c r="R160" i="26"/>
  <c r="V160" i="26" s="1"/>
  <c r="X159" i="26"/>
  <c r="U159" i="26"/>
  <c r="R159" i="26"/>
  <c r="X158" i="26"/>
  <c r="U158" i="26"/>
  <c r="R158" i="26"/>
  <c r="V158" i="26" s="1"/>
  <c r="X157" i="26"/>
  <c r="U157" i="26"/>
  <c r="R157" i="26"/>
  <c r="V157" i="26" s="1"/>
  <c r="X156" i="26"/>
  <c r="U156" i="26"/>
  <c r="R156" i="26"/>
  <c r="V156" i="26" s="1"/>
  <c r="X155" i="26"/>
  <c r="U155" i="26"/>
  <c r="R155" i="26"/>
  <c r="V155" i="26" s="1"/>
  <c r="X154" i="26"/>
  <c r="U154" i="26"/>
  <c r="R154" i="26"/>
  <c r="V154" i="26" s="1"/>
  <c r="X153" i="26"/>
  <c r="U153" i="26"/>
  <c r="R153" i="26"/>
  <c r="V153" i="26" s="1"/>
  <c r="X152" i="26"/>
  <c r="U152" i="26"/>
  <c r="R152" i="26"/>
  <c r="V152" i="26" s="1"/>
  <c r="U151" i="26"/>
  <c r="R151" i="26"/>
  <c r="V151" i="26" s="1"/>
  <c r="U150" i="26"/>
  <c r="R150" i="26"/>
  <c r="U149" i="26"/>
  <c r="R149" i="26"/>
  <c r="V149" i="26" s="1"/>
  <c r="U148" i="26"/>
  <c r="R148" i="26"/>
  <c r="V148" i="26" s="1"/>
  <c r="U147" i="26"/>
  <c r="R147" i="26"/>
  <c r="V147" i="26" s="1"/>
  <c r="U146" i="26"/>
  <c r="R146" i="26"/>
  <c r="U145" i="26"/>
  <c r="R145" i="26"/>
  <c r="V145" i="26" s="1"/>
  <c r="U144" i="26"/>
  <c r="R144" i="26"/>
  <c r="V144" i="26" s="1"/>
  <c r="P144" i="26"/>
  <c r="P145" i="26" s="1"/>
  <c r="P146" i="26" s="1"/>
  <c r="P147" i="26" s="1"/>
  <c r="P148" i="26" s="1"/>
  <c r="P149" i="26" s="1"/>
  <c r="P150" i="26" s="1"/>
  <c r="P151" i="26" s="1"/>
  <c r="P152" i="26" s="1"/>
  <c r="P153" i="26" s="1"/>
  <c r="P154" i="26" s="1"/>
  <c r="P155" i="26" s="1"/>
  <c r="P156" i="26" s="1"/>
  <c r="P157" i="26" s="1"/>
  <c r="P158" i="26" s="1"/>
  <c r="P159" i="26" s="1"/>
  <c r="P160" i="26" s="1"/>
  <c r="P161" i="26" s="1"/>
  <c r="P162" i="26" s="1"/>
  <c r="P163" i="26" s="1"/>
  <c r="P164" i="26" s="1"/>
  <c r="P165" i="26" s="1"/>
  <c r="P166" i="26" s="1"/>
  <c r="P167" i="26" s="1"/>
  <c r="P168" i="26" s="1"/>
  <c r="P169" i="26" s="1"/>
  <c r="P170" i="26" s="1"/>
  <c r="P171" i="26" s="1"/>
  <c r="P172" i="26" s="1"/>
  <c r="P173" i="26" s="1"/>
  <c r="U143" i="26"/>
  <c r="R143" i="26"/>
  <c r="X143" i="26" s="1"/>
  <c r="W138" i="26"/>
  <c r="U138" i="26"/>
  <c r="R138" i="26"/>
  <c r="V138" i="26" s="1"/>
  <c r="W137" i="26"/>
  <c r="U137" i="26"/>
  <c r="R137" i="26"/>
  <c r="V137" i="26" s="1"/>
  <c r="W136" i="26"/>
  <c r="U136" i="26"/>
  <c r="R136" i="26"/>
  <c r="V136" i="26" s="1"/>
  <c r="W135" i="26"/>
  <c r="U135" i="26"/>
  <c r="R135" i="26"/>
  <c r="V135" i="26" s="1"/>
  <c r="W134" i="26"/>
  <c r="U134" i="26"/>
  <c r="R134" i="26"/>
  <c r="V134" i="26" s="1"/>
  <c r="W133" i="26"/>
  <c r="U133" i="26"/>
  <c r="R133" i="26"/>
  <c r="V133" i="26" s="1"/>
  <c r="W132" i="26"/>
  <c r="U132" i="26"/>
  <c r="R132" i="26"/>
  <c r="V132" i="26" s="1"/>
  <c r="W131" i="26"/>
  <c r="U131" i="26"/>
  <c r="R131" i="26"/>
  <c r="W130" i="26"/>
  <c r="U130" i="26"/>
  <c r="R130" i="26"/>
  <c r="V130" i="26" s="1"/>
  <c r="W129" i="26"/>
  <c r="U129" i="26"/>
  <c r="R129" i="26"/>
  <c r="V129" i="26" s="1"/>
  <c r="W128" i="26"/>
  <c r="U128" i="26"/>
  <c r="R128" i="26"/>
  <c r="V128" i="26" s="1"/>
  <c r="W127" i="26"/>
  <c r="U127" i="26"/>
  <c r="R127" i="26"/>
  <c r="V127" i="26" s="1"/>
  <c r="W126" i="26"/>
  <c r="U126" i="26"/>
  <c r="R126" i="26"/>
  <c r="V126" i="26" s="1"/>
  <c r="W125" i="26"/>
  <c r="U125" i="26"/>
  <c r="R125" i="26"/>
  <c r="V125" i="26" s="1"/>
  <c r="W124" i="26"/>
  <c r="U124" i="26"/>
  <c r="R124" i="26"/>
  <c r="V124" i="26" s="1"/>
  <c r="W123" i="26"/>
  <c r="U123" i="26"/>
  <c r="R123" i="26"/>
  <c r="W122" i="26"/>
  <c r="U122" i="26"/>
  <c r="R122" i="26"/>
  <c r="V122" i="26" s="1"/>
  <c r="W121" i="26"/>
  <c r="U121" i="26"/>
  <c r="R121" i="26"/>
  <c r="V121" i="26" s="1"/>
  <c r="W120" i="26"/>
  <c r="U120" i="26"/>
  <c r="R120" i="26"/>
  <c r="V120" i="26" s="1"/>
  <c r="W119" i="26"/>
  <c r="U119" i="26"/>
  <c r="R119" i="26"/>
  <c r="V119" i="26" s="1"/>
  <c r="W118" i="26"/>
  <c r="U118" i="26"/>
  <c r="R118" i="26"/>
  <c r="V118" i="26" s="1"/>
  <c r="W117" i="26"/>
  <c r="U117" i="26"/>
  <c r="R117" i="26"/>
  <c r="V117" i="26" s="1"/>
  <c r="U116" i="26"/>
  <c r="R116" i="26"/>
  <c r="U115" i="26"/>
  <c r="R115" i="26"/>
  <c r="V115" i="26" s="1"/>
  <c r="U114" i="26"/>
  <c r="R114" i="26"/>
  <c r="V114" i="26" s="1"/>
  <c r="U113" i="26"/>
  <c r="R113" i="26"/>
  <c r="V113" i="26" s="1"/>
  <c r="U112" i="26"/>
  <c r="R112" i="26"/>
  <c r="U111" i="26"/>
  <c r="R111" i="26"/>
  <c r="V111" i="26" s="1"/>
  <c r="U110" i="26"/>
  <c r="R110" i="26"/>
  <c r="V110" i="26" s="1"/>
  <c r="U109" i="26"/>
  <c r="R109" i="26"/>
  <c r="V109" i="26" s="1"/>
  <c r="P109" i="26"/>
  <c r="P110" i="26" s="1"/>
  <c r="P111" i="26" s="1"/>
  <c r="P112" i="26" s="1"/>
  <c r="P113" i="26" s="1"/>
  <c r="P114" i="26" s="1"/>
  <c r="P115" i="26" s="1"/>
  <c r="P116" i="26" s="1"/>
  <c r="P117" i="26" s="1"/>
  <c r="P118" i="26" s="1"/>
  <c r="P119" i="26" s="1"/>
  <c r="P120" i="26" s="1"/>
  <c r="P121" i="26" s="1"/>
  <c r="P122" i="26" s="1"/>
  <c r="P123" i="26" s="1"/>
  <c r="P124" i="26" s="1"/>
  <c r="P125" i="26" s="1"/>
  <c r="P126" i="26" s="1"/>
  <c r="P127" i="26" s="1"/>
  <c r="P128" i="26" s="1"/>
  <c r="P129" i="26" s="1"/>
  <c r="P130" i="26" s="1"/>
  <c r="P131" i="26" s="1"/>
  <c r="P132" i="26" s="1"/>
  <c r="P133" i="26" s="1"/>
  <c r="P134" i="26" s="1"/>
  <c r="P135" i="26" s="1"/>
  <c r="P136" i="26" s="1"/>
  <c r="P137" i="26" s="1"/>
  <c r="P138" i="26" s="1"/>
  <c r="U108" i="26"/>
  <c r="R108" i="26"/>
  <c r="V108" i="26" s="1"/>
  <c r="R103" i="26"/>
  <c r="V103" i="26" s="1"/>
  <c r="R102" i="26"/>
  <c r="V102" i="26" s="1"/>
  <c r="R101" i="26"/>
  <c r="V101" i="26" s="1"/>
  <c r="R100" i="26"/>
  <c r="V100" i="26" s="1"/>
  <c r="R99" i="26"/>
  <c r="U99" i="26" s="1"/>
  <c r="R98" i="26"/>
  <c r="V98" i="26" s="1"/>
  <c r="R97" i="26"/>
  <c r="U97" i="26" s="1"/>
  <c r="R96" i="26"/>
  <c r="R95" i="26"/>
  <c r="V95" i="26" s="1"/>
  <c r="R94" i="26"/>
  <c r="U94" i="26" s="1"/>
  <c r="R93" i="26"/>
  <c r="V93" i="26" s="1"/>
  <c r="R92" i="26"/>
  <c r="V92" i="26" s="1"/>
  <c r="R91" i="26"/>
  <c r="U91" i="26" s="1"/>
  <c r="R90" i="26"/>
  <c r="V90" i="26" s="1"/>
  <c r="R89" i="26"/>
  <c r="U89" i="26" s="1"/>
  <c r="R88" i="26"/>
  <c r="R87" i="26"/>
  <c r="U87" i="26" s="1"/>
  <c r="R86" i="26"/>
  <c r="V86" i="26" s="1"/>
  <c r="R85" i="26"/>
  <c r="V85" i="26" s="1"/>
  <c r="R84" i="26"/>
  <c r="V84" i="26" s="1"/>
  <c r="R83" i="26"/>
  <c r="U83" i="26" s="1"/>
  <c r="R82" i="26"/>
  <c r="V82" i="26" s="1"/>
  <c r="R81" i="26"/>
  <c r="W81" i="26" s="1"/>
  <c r="R80" i="26"/>
  <c r="R79" i="26"/>
  <c r="W79" i="26" s="1"/>
  <c r="R78" i="26"/>
  <c r="V78" i="26" s="1"/>
  <c r="R77" i="26"/>
  <c r="W77" i="26" s="1"/>
  <c r="R76" i="26"/>
  <c r="V76" i="26" s="1"/>
  <c r="R75" i="26"/>
  <c r="U75" i="26" s="1"/>
  <c r="R74" i="26"/>
  <c r="W74" i="26" s="1"/>
  <c r="P74" i="26"/>
  <c r="P75" i="26" s="1"/>
  <c r="P76" i="26" s="1"/>
  <c r="P77" i="26" s="1"/>
  <c r="P78" i="26" s="1"/>
  <c r="P79" i="26" s="1"/>
  <c r="P80" i="26" s="1"/>
  <c r="P81" i="26" s="1"/>
  <c r="P82" i="26" s="1"/>
  <c r="P83" i="26" s="1"/>
  <c r="P84" i="26" s="1"/>
  <c r="P85" i="26" s="1"/>
  <c r="P86" i="26" s="1"/>
  <c r="P87" i="26" s="1"/>
  <c r="P88" i="26" s="1"/>
  <c r="P89" i="26" s="1"/>
  <c r="P90" i="26" s="1"/>
  <c r="P91" i="26" s="1"/>
  <c r="P92" i="26" s="1"/>
  <c r="P93" i="26" s="1"/>
  <c r="P94" i="26" s="1"/>
  <c r="P95" i="26" s="1"/>
  <c r="P96" i="26" s="1"/>
  <c r="P97" i="26" s="1"/>
  <c r="P98" i="26" s="1"/>
  <c r="P99" i="26" s="1"/>
  <c r="P100" i="26" s="1"/>
  <c r="P101" i="26" s="1"/>
  <c r="P102" i="26" s="1"/>
  <c r="P103" i="26" s="1"/>
  <c r="R73" i="26"/>
  <c r="W73" i="26" s="1"/>
  <c r="X173" i="25"/>
  <c r="U173" i="25"/>
  <c r="R173" i="25"/>
  <c r="X172" i="25"/>
  <c r="U172" i="25"/>
  <c r="R172" i="25"/>
  <c r="V172" i="25" s="1"/>
  <c r="X171" i="25"/>
  <c r="U171" i="25"/>
  <c r="R171" i="25"/>
  <c r="V171" i="25" s="1"/>
  <c r="X170" i="25"/>
  <c r="U170" i="25"/>
  <c r="R170" i="25"/>
  <c r="V170" i="25" s="1"/>
  <c r="X169" i="25"/>
  <c r="U169" i="25"/>
  <c r="R169" i="25"/>
  <c r="V169" i="25" s="1"/>
  <c r="X168" i="25"/>
  <c r="U168" i="25"/>
  <c r="R168" i="25"/>
  <c r="V168" i="25" s="1"/>
  <c r="X167" i="25"/>
  <c r="U167" i="25"/>
  <c r="R167" i="25"/>
  <c r="X166" i="25"/>
  <c r="U166" i="25"/>
  <c r="R166" i="25"/>
  <c r="V166" i="25" s="1"/>
  <c r="X165" i="25"/>
  <c r="U165" i="25"/>
  <c r="R165" i="25"/>
  <c r="X164" i="25"/>
  <c r="U164" i="25"/>
  <c r="R164" i="25"/>
  <c r="V164" i="25" s="1"/>
  <c r="X163" i="25"/>
  <c r="U163" i="25"/>
  <c r="R163" i="25"/>
  <c r="V163" i="25" s="1"/>
  <c r="X162" i="25"/>
  <c r="U162" i="25"/>
  <c r="R162" i="25"/>
  <c r="V162" i="25" s="1"/>
  <c r="X161" i="25"/>
  <c r="U161" i="25"/>
  <c r="R161" i="25"/>
  <c r="V161" i="25" s="1"/>
  <c r="X160" i="25"/>
  <c r="U160" i="25"/>
  <c r="R160" i="25"/>
  <c r="V160" i="25" s="1"/>
  <c r="X159" i="25"/>
  <c r="U159" i="25"/>
  <c r="R159" i="25"/>
  <c r="X158" i="25"/>
  <c r="U158" i="25"/>
  <c r="R158" i="25"/>
  <c r="V158" i="25" s="1"/>
  <c r="X157" i="25"/>
  <c r="U157" i="25"/>
  <c r="R157" i="25"/>
  <c r="X156" i="25"/>
  <c r="U156" i="25"/>
  <c r="R156" i="25"/>
  <c r="V156" i="25" s="1"/>
  <c r="X155" i="25"/>
  <c r="U155" i="25"/>
  <c r="R155" i="25"/>
  <c r="V155" i="25" s="1"/>
  <c r="X154" i="25"/>
  <c r="U154" i="25"/>
  <c r="R154" i="25"/>
  <c r="V154" i="25" s="1"/>
  <c r="X153" i="25"/>
  <c r="U153" i="25"/>
  <c r="R153" i="25"/>
  <c r="V153" i="25" s="1"/>
  <c r="X152" i="25"/>
  <c r="U152" i="25"/>
  <c r="R152" i="25"/>
  <c r="V152" i="25" s="1"/>
  <c r="U151" i="25"/>
  <c r="R151" i="25"/>
  <c r="V151" i="25" s="1"/>
  <c r="U150" i="25"/>
  <c r="R150" i="25"/>
  <c r="V150" i="25" s="1"/>
  <c r="U149" i="25"/>
  <c r="R149" i="25"/>
  <c r="V149" i="25" s="1"/>
  <c r="U148" i="25"/>
  <c r="R148" i="25"/>
  <c r="V148" i="25" s="1"/>
  <c r="U147" i="25"/>
  <c r="R147" i="25"/>
  <c r="V147" i="25" s="1"/>
  <c r="U146" i="25"/>
  <c r="R146" i="25"/>
  <c r="V146" i="25" s="1"/>
  <c r="U145" i="25"/>
  <c r="R145" i="25"/>
  <c r="V145" i="25" s="1"/>
  <c r="U144" i="25"/>
  <c r="R144" i="25"/>
  <c r="V144" i="25" s="1"/>
  <c r="P144" i="25"/>
  <c r="P145" i="25" s="1"/>
  <c r="P146" i="25" s="1"/>
  <c r="P147" i="25" s="1"/>
  <c r="P148" i="25" s="1"/>
  <c r="P149" i="25" s="1"/>
  <c r="P150" i="25" s="1"/>
  <c r="P151" i="25" s="1"/>
  <c r="P152" i="25" s="1"/>
  <c r="P153" i="25" s="1"/>
  <c r="P154" i="25" s="1"/>
  <c r="P155" i="25" s="1"/>
  <c r="P156" i="25" s="1"/>
  <c r="P157" i="25" s="1"/>
  <c r="P158" i="25" s="1"/>
  <c r="P159" i="25" s="1"/>
  <c r="P160" i="25" s="1"/>
  <c r="P161" i="25" s="1"/>
  <c r="P162" i="25" s="1"/>
  <c r="P163" i="25" s="1"/>
  <c r="P164" i="25" s="1"/>
  <c r="P165" i="25" s="1"/>
  <c r="P166" i="25" s="1"/>
  <c r="P167" i="25" s="1"/>
  <c r="P168" i="25" s="1"/>
  <c r="P169" i="25" s="1"/>
  <c r="P170" i="25" s="1"/>
  <c r="P171" i="25" s="1"/>
  <c r="P172" i="25" s="1"/>
  <c r="P173" i="25" s="1"/>
  <c r="U143" i="25"/>
  <c r="R143" i="25"/>
  <c r="X143" i="25" s="1"/>
  <c r="W138" i="25"/>
  <c r="U138" i="25"/>
  <c r="R138" i="25"/>
  <c r="V138" i="25" s="1"/>
  <c r="W137" i="25"/>
  <c r="U137" i="25"/>
  <c r="R137" i="25"/>
  <c r="V137" i="25" s="1"/>
  <c r="W136" i="25"/>
  <c r="U136" i="25"/>
  <c r="R136" i="25"/>
  <c r="V136" i="25" s="1"/>
  <c r="W135" i="25"/>
  <c r="U135" i="25"/>
  <c r="R135" i="25"/>
  <c r="V135" i="25" s="1"/>
  <c r="W134" i="25"/>
  <c r="U134" i="25"/>
  <c r="R134" i="25"/>
  <c r="V134" i="25" s="1"/>
  <c r="W133" i="25"/>
  <c r="U133" i="25"/>
  <c r="R133" i="25"/>
  <c r="V133" i="25" s="1"/>
  <c r="W132" i="25"/>
  <c r="U132" i="25"/>
  <c r="R132" i="25"/>
  <c r="V132" i="25" s="1"/>
  <c r="W131" i="25"/>
  <c r="U131" i="25"/>
  <c r="R131" i="25"/>
  <c r="W130" i="25"/>
  <c r="U130" i="25"/>
  <c r="R130" i="25"/>
  <c r="V130" i="25" s="1"/>
  <c r="W129" i="25"/>
  <c r="U129" i="25"/>
  <c r="R129" i="25"/>
  <c r="V129" i="25" s="1"/>
  <c r="W128" i="25"/>
  <c r="U128" i="25"/>
  <c r="R128" i="25"/>
  <c r="V128" i="25" s="1"/>
  <c r="W127" i="25"/>
  <c r="U127" i="25"/>
  <c r="R127" i="25"/>
  <c r="V127" i="25" s="1"/>
  <c r="W126" i="25"/>
  <c r="V126" i="25"/>
  <c r="U126" i="25"/>
  <c r="R126" i="25"/>
  <c r="W125" i="25"/>
  <c r="U125" i="25"/>
  <c r="R125" i="25"/>
  <c r="V125" i="25" s="1"/>
  <c r="W124" i="25"/>
  <c r="U124" i="25"/>
  <c r="R124" i="25"/>
  <c r="V124" i="25" s="1"/>
  <c r="W123" i="25"/>
  <c r="U123" i="25"/>
  <c r="R123" i="25"/>
  <c r="W122" i="25"/>
  <c r="U122" i="25"/>
  <c r="R122" i="25"/>
  <c r="V122" i="25" s="1"/>
  <c r="W121" i="25"/>
  <c r="U121" i="25"/>
  <c r="R121" i="25"/>
  <c r="V121" i="25" s="1"/>
  <c r="W120" i="25"/>
  <c r="U120" i="25"/>
  <c r="R120" i="25"/>
  <c r="V120" i="25" s="1"/>
  <c r="W119" i="25"/>
  <c r="U119" i="25"/>
  <c r="R119" i="25"/>
  <c r="V119" i="25" s="1"/>
  <c r="W118" i="25"/>
  <c r="U118" i="25"/>
  <c r="R118" i="25"/>
  <c r="V118" i="25" s="1"/>
  <c r="W117" i="25"/>
  <c r="U117" i="25"/>
  <c r="R117" i="25"/>
  <c r="V117" i="25" s="1"/>
  <c r="U116" i="25"/>
  <c r="R116" i="25"/>
  <c r="U115" i="25"/>
  <c r="R115" i="25"/>
  <c r="V115" i="25" s="1"/>
  <c r="U114" i="25"/>
  <c r="R114" i="25"/>
  <c r="V114" i="25" s="1"/>
  <c r="U113" i="25"/>
  <c r="R113" i="25"/>
  <c r="V113" i="25" s="1"/>
  <c r="U112" i="25"/>
  <c r="R112" i="25"/>
  <c r="U111" i="25"/>
  <c r="R111" i="25"/>
  <c r="V111" i="25" s="1"/>
  <c r="U110" i="25"/>
  <c r="R110" i="25"/>
  <c r="V110" i="25" s="1"/>
  <c r="U109" i="25"/>
  <c r="R109" i="25"/>
  <c r="P109" i="25"/>
  <c r="P110" i="25" s="1"/>
  <c r="P111" i="25" s="1"/>
  <c r="P112" i="25" s="1"/>
  <c r="P113" i="25" s="1"/>
  <c r="P114" i="25" s="1"/>
  <c r="P115" i="25" s="1"/>
  <c r="P116" i="25" s="1"/>
  <c r="P117" i="25" s="1"/>
  <c r="P118" i="25" s="1"/>
  <c r="P119" i="25" s="1"/>
  <c r="P120" i="25" s="1"/>
  <c r="P121" i="25" s="1"/>
  <c r="P122" i="25" s="1"/>
  <c r="P123" i="25" s="1"/>
  <c r="P124" i="25" s="1"/>
  <c r="P125" i="25" s="1"/>
  <c r="P126" i="25" s="1"/>
  <c r="P127" i="25" s="1"/>
  <c r="P128" i="25" s="1"/>
  <c r="P129" i="25" s="1"/>
  <c r="P130" i="25" s="1"/>
  <c r="P131" i="25" s="1"/>
  <c r="P132" i="25" s="1"/>
  <c r="P133" i="25" s="1"/>
  <c r="P134" i="25" s="1"/>
  <c r="P135" i="25" s="1"/>
  <c r="P136" i="25" s="1"/>
  <c r="P137" i="25" s="1"/>
  <c r="P138" i="25" s="1"/>
  <c r="U108" i="25"/>
  <c r="R108" i="25"/>
  <c r="W108" i="25" s="1"/>
  <c r="R103" i="25"/>
  <c r="U103" i="25" s="1"/>
  <c r="R102" i="25"/>
  <c r="U102" i="25" s="1"/>
  <c r="R101" i="25"/>
  <c r="V101" i="25" s="1"/>
  <c r="R100" i="25"/>
  <c r="V100" i="25" s="1"/>
  <c r="R99" i="25"/>
  <c r="U99" i="25" s="1"/>
  <c r="R98" i="25"/>
  <c r="U98" i="25" s="1"/>
  <c r="R97" i="25"/>
  <c r="V97" i="25" s="1"/>
  <c r="R96" i="25"/>
  <c r="R95" i="25"/>
  <c r="U95" i="25" s="1"/>
  <c r="R94" i="25"/>
  <c r="V94" i="25" s="1"/>
  <c r="R93" i="25"/>
  <c r="V93" i="25" s="1"/>
  <c r="R92" i="25"/>
  <c r="V92" i="25" s="1"/>
  <c r="R91" i="25"/>
  <c r="U91" i="25" s="1"/>
  <c r="R90" i="25"/>
  <c r="U90" i="25" s="1"/>
  <c r="R89" i="25"/>
  <c r="V89" i="25" s="1"/>
  <c r="R88" i="25"/>
  <c r="R87" i="25"/>
  <c r="U87" i="25" s="1"/>
  <c r="R86" i="25"/>
  <c r="U86" i="25" s="1"/>
  <c r="R85" i="25"/>
  <c r="V85" i="25" s="1"/>
  <c r="R84" i="25"/>
  <c r="V84" i="25" s="1"/>
  <c r="R83" i="25"/>
  <c r="U83" i="25" s="1"/>
  <c r="R82" i="25"/>
  <c r="U82" i="25" s="1"/>
  <c r="R81" i="25"/>
  <c r="W81" i="25" s="1"/>
  <c r="R80" i="25"/>
  <c r="R79" i="25"/>
  <c r="W79" i="25" s="1"/>
  <c r="R78" i="25"/>
  <c r="W78" i="25" s="1"/>
  <c r="R77" i="25"/>
  <c r="W77" i="25" s="1"/>
  <c r="R76" i="25"/>
  <c r="V76" i="25" s="1"/>
  <c r="R75" i="25"/>
  <c r="U75" i="25" s="1"/>
  <c r="R74" i="25"/>
  <c r="U74" i="25" s="1"/>
  <c r="P74" i="25"/>
  <c r="P75" i="25" s="1"/>
  <c r="P76" i="25" s="1"/>
  <c r="P77" i="25" s="1"/>
  <c r="P78" i="25" s="1"/>
  <c r="P79" i="25" s="1"/>
  <c r="P80" i="25" s="1"/>
  <c r="P81" i="25" s="1"/>
  <c r="P82" i="25" s="1"/>
  <c r="P83" i="25" s="1"/>
  <c r="P84" i="25" s="1"/>
  <c r="P85" i="25" s="1"/>
  <c r="P86" i="25" s="1"/>
  <c r="P87" i="25" s="1"/>
  <c r="P88" i="25" s="1"/>
  <c r="P89" i="25" s="1"/>
  <c r="P90" i="25" s="1"/>
  <c r="P91" i="25" s="1"/>
  <c r="P92" i="25" s="1"/>
  <c r="P93" i="25" s="1"/>
  <c r="P94" i="25" s="1"/>
  <c r="P95" i="25" s="1"/>
  <c r="P96" i="25" s="1"/>
  <c r="P97" i="25" s="1"/>
  <c r="P98" i="25" s="1"/>
  <c r="P99" i="25" s="1"/>
  <c r="P100" i="25" s="1"/>
  <c r="P101" i="25" s="1"/>
  <c r="P102" i="25" s="1"/>
  <c r="P103" i="25" s="1"/>
  <c r="R73" i="25"/>
  <c r="W73" i="25" s="1"/>
  <c r="X173" i="27"/>
  <c r="U173" i="27"/>
  <c r="R173" i="27"/>
  <c r="X172" i="27"/>
  <c r="U172" i="27"/>
  <c r="R172" i="27"/>
  <c r="V172" i="27" s="1"/>
  <c r="X171" i="27"/>
  <c r="U171" i="27"/>
  <c r="R171" i="27"/>
  <c r="V171" i="27" s="1"/>
  <c r="X170" i="27"/>
  <c r="U170" i="27"/>
  <c r="R170" i="27"/>
  <c r="V170" i="27" s="1"/>
  <c r="X169" i="27"/>
  <c r="U169" i="27"/>
  <c r="R169" i="27"/>
  <c r="V169" i="27" s="1"/>
  <c r="X168" i="27"/>
  <c r="U168" i="27"/>
  <c r="R168" i="27"/>
  <c r="V168" i="27" s="1"/>
  <c r="X167" i="27"/>
  <c r="U167" i="27"/>
  <c r="R167" i="27"/>
  <c r="X166" i="27"/>
  <c r="U166" i="27"/>
  <c r="R166" i="27"/>
  <c r="V166" i="27" s="1"/>
  <c r="X165" i="27"/>
  <c r="U165" i="27"/>
  <c r="R165" i="27"/>
  <c r="X164" i="27"/>
  <c r="U164" i="27"/>
  <c r="R164" i="27"/>
  <c r="V164" i="27" s="1"/>
  <c r="X163" i="27"/>
  <c r="U163" i="27"/>
  <c r="R163" i="27"/>
  <c r="V163" i="27" s="1"/>
  <c r="X162" i="27"/>
  <c r="U162" i="27"/>
  <c r="R162" i="27"/>
  <c r="V162" i="27" s="1"/>
  <c r="X161" i="27"/>
  <c r="U161" i="27"/>
  <c r="R161" i="27"/>
  <c r="V161" i="27" s="1"/>
  <c r="X160" i="27"/>
  <c r="U160" i="27"/>
  <c r="R160" i="27"/>
  <c r="V160" i="27" s="1"/>
  <c r="X159" i="27"/>
  <c r="U159" i="27"/>
  <c r="R159" i="27"/>
  <c r="X158" i="27"/>
  <c r="U158" i="27"/>
  <c r="R158" i="27"/>
  <c r="V158" i="27" s="1"/>
  <c r="X157" i="27"/>
  <c r="U157" i="27"/>
  <c r="R157" i="27"/>
  <c r="X156" i="27"/>
  <c r="U156" i="27"/>
  <c r="R156" i="27"/>
  <c r="V156" i="27" s="1"/>
  <c r="X155" i="27"/>
  <c r="U155" i="27"/>
  <c r="R155" i="27"/>
  <c r="V155" i="27" s="1"/>
  <c r="X154" i="27"/>
  <c r="U154" i="27"/>
  <c r="R154" i="27"/>
  <c r="V154" i="27" s="1"/>
  <c r="X153" i="27"/>
  <c r="U153" i="27"/>
  <c r="R153" i="27"/>
  <c r="V153" i="27" s="1"/>
  <c r="X152" i="27"/>
  <c r="U152" i="27"/>
  <c r="R152" i="27"/>
  <c r="V152" i="27" s="1"/>
  <c r="U151" i="27"/>
  <c r="R151" i="27"/>
  <c r="V151" i="27" s="1"/>
  <c r="U150" i="27"/>
  <c r="R150" i="27"/>
  <c r="U149" i="27"/>
  <c r="R149" i="27"/>
  <c r="V149" i="27" s="1"/>
  <c r="U148" i="27"/>
  <c r="R148" i="27"/>
  <c r="V148" i="27" s="1"/>
  <c r="U147" i="27"/>
  <c r="R147" i="27"/>
  <c r="V147" i="27" s="1"/>
  <c r="U146" i="27"/>
  <c r="R146" i="27"/>
  <c r="U145" i="27"/>
  <c r="R145" i="27"/>
  <c r="V145" i="27" s="1"/>
  <c r="U144" i="27"/>
  <c r="R144" i="27"/>
  <c r="V144" i="27" s="1"/>
  <c r="P144" i="27"/>
  <c r="P145" i="27" s="1"/>
  <c r="P146" i="27" s="1"/>
  <c r="P147" i="27" s="1"/>
  <c r="P148" i="27" s="1"/>
  <c r="P149" i="27" s="1"/>
  <c r="P150" i="27" s="1"/>
  <c r="P151" i="27" s="1"/>
  <c r="P152" i="27" s="1"/>
  <c r="P153" i="27" s="1"/>
  <c r="P154" i="27" s="1"/>
  <c r="P155" i="27" s="1"/>
  <c r="P156" i="27" s="1"/>
  <c r="P157" i="27" s="1"/>
  <c r="P158" i="27" s="1"/>
  <c r="P159" i="27" s="1"/>
  <c r="P160" i="27" s="1"/>
  <c r="P161" i="27" s="1"/>
  <c r="P162" i="27" s="1"/>
  <c r="P163" i="27" s="1"/>
  <c r="P164" i="27" s="1"/>
  <c r="P165" i="27" s="1"/>
  <c r="P166" i="27" s="1"/>
  <c r="P167" i="27" s="1"/>
  <c r="P168" i="27" s="1"/>
  <c r="P169" i="27" s="1"/>
  <c r="P170" i="27" s="1"/>
  <c r="P171" i="27" s="1"/>
  <c r="P172" i="27" s="1"/>
  <c r="P173" i="27" s="1"/>
  <c r="U143" i="27"/>
  <c r="R143" i="27"/>
  <c r="V143" i="27" s="1"/>
  <c r="W138" i="27"/>
  <c r="U138" i="27"/>
  <c r="R138" i="27"/>
  <c r="V138" i="27" s="1"/>
  <c r="W137" i="27"/>
  <c r="U137" i="27"/>
  <c r="R137" i="27"/>
  <c r="W136" i="27"/>
  <c r="U136" i="27"/>
  <c r="R136" i="27"/>
  <c r="V136" i="27" s="1"/>
  <c r="W135" i="27"/>
  <c r="U135" i="27"/>
  <c r="R135" i="27"/>
  <c r="V135" i="27" s="1"/>
  <c r="W134" i="27"/>
  <c r="U134" i="27"/>
  <c r="R134" i="27"/>
  <c r="V134" i="27" s="1"/>
  <c r="W133" i="27"/>
  <c r="U133" i="27"/>
  <c r="R133" i="27"/>
  <c r="V133" i="27" s="1"/>
  <c r="W132" i="27"/>
  <c r="U132" i="27"/>
  <c r="R132" i="27"/>
  <c r="V132" i="27" s="1"/>
  <c r="W131" i="27"/>
  <c r="U131" i="27"/>
  <c r="R131" i="27"/>
  <c r="W130" i="27"/>
  <c r="U130" i="27"/>
  <c r="R130" i="27"/>
  <c r="V130" i="27" s="1"/>
  <c r="W129" i="27"/>
  <c r="U129" i="27"/>
  <c r="R129" i="27"/>
  <c r="W128" i="27"/>
  <c r="U128" i="27"/>
  <c r="R128" i="27"/>
  <c r="V128" i="27" s="1"/>
  <c r="W127" i="27"/>
  <c r="U127" i="27"/>
  <c r="R127" i="27"/>
  <c r="V127" i="27" s="1"/>
  <c r="W126" i="27"/>
  <c r="U126" i="27"/>
  <c r="R126" i="27"/>
  <c r="V126" i="27" s="1"/>
  <c r="W125" i="27"/>
  <c r="U125" i="27"/>
  <c r="R125" i="27"/>
  <c r="V125" i="27" s="1"/>
  <c r="W124" i="27"/>
  <c r="U124" i="27"/>
  <c r="R124" i="27"/>
  <c r="V124" i="27" s="1"/>
  <c r="W123" i="27"/>
  <c r="U123" i="27"/>
  <c r="R123" i="27"/>
  <c r="W122" i="27"/>
  <c r="U122" i="27"/>
  <c r="R122" i="27"/>
  <c r="V122" i="27" s="1"/>
  <c r="W121" i="27"/>
  <c r="U121" i="27"/>
  <c r="R121" i="27"/>
  <c r="W120" i="27"/>
  <c r="U120" i="27"/>
  <c r="R120" i="27"/>
  <c r="V120" i="27" s="1"/>
  <c r="W119" i="27"/>
  <c r="U119" i="27"/>
  <c r="R119" i="27"/>
  <c r="V119" i="27" s="1"/>
  <c r="W118" i="27"/>
  <c r="U118" i="27"/>
  <c r="R118" i="27"/>
  <c r="V118" i="27" s="1"/>
  <c r="W117" i="27"/>
  <c r="U117" i="27"/>
  <c r="R117" i="27"/>
  <c r="V117" i="27" s="1"/>
  <c r="U116" i="27"/>
  <c r="R116" i="27"/>
  <c r="U115" i="27"/>
  <c r="R115" i="27"/>
  <c r="U114" i="27"/>
  <c r="R114" i="27"/>
  <c r="V114" i="27" s="1"/>
  <c r="U113" i="27"/>
  <c r="R113" i="27"/>
  <c r="V113" i="27" s="1"/>
  <c r="U112" i="27"/>
  <c r="R112" i="27"/>
  <c r="U111" i="27"/>
  <c r="R111" i="27"/>
  <c r="U110" i="27"/>
  <c r="R110" i="27"/>
  <c r="V110" i="27" s="1"/>
  <c r="U109" i="27"/>
  <c r="R109" i="27"/>
  <c r="V109" i="27" s="1"/>
  <c r="P109" i="27"/>
  <c r="P110" i="27" s="1"/>
  <c r="P111" i="27" s="1"/>
  <c r="P112" i="27" s="1"/>
  <c r="P113" i="27" s="1"/>
  <c r="P114" i="27" s="1"/>
  <c r="P115" i="27" s="1"/>
  <c r="P116" i="27" s="1"/>
  <c r="P117" i="27" s="1"/>
  <c r="P118" i="27" s="1"/>
  <c r="P119" i="27" s="1"/>
  <c r="P120" i="27" s="1"/>
  <c r="P121" i="27" s="1"/>
  <c r="P122" i="27" s="1"/>
  <c r="P123" i="27" s="1"/>
  <c r="P124" i="27" s="1"/>
  <c r="P125" i="27" s="1"/>
  <c r="P126" i="27" s="1"/>
  <c r="P127" i="27" s="1"/>
  <c r="P128" i="27" s="1"/>
  <c r="P129" i="27" s="1"/>
  <c r="P130" i="27" s="1"/>
  <c r="P131" i="27" s="1"/>
  <c r="P132" i="27" s="1"/>
  <c r="P133" i="27" s="1"/>
  <c r="P134" i="27" s="1"/>
  <c r="P135" i="27" s="1"/>
  <c r="P136" i="27" s="1"/>
  <c r="P137" i="27" s="1"/>
  <c r="P138" i="27" s="1"/>
  <c r="U108" i="27"/>
  <c r="R108" i="27"/>
  <c r="W108" i="27" s="1"/>
  <c r="R103" i="27"/>
  <c r="U103" i="27" s="1"/>
  <c r="R102" i="27"/>
  <c r="R101" i="27"/>
  <c r="V101" i="27" s="1"/>
  <c r="R100" i="27"/>
  <c r="V100" i="27" s="1"/>
  <c r="R99" i="27"/>
  <c r="U99" i="27" s="1"/>
  <c r="R98" i="27"/>
  <c r="V98" i="27" s="1"/>
  <c r="R97" i="27"/>
  <c r="U97" i="27" s="1"/>
  <c r="R96" i="27"/>
  <c r="R95" i="27"/>
  <c r="V95" i="27" s="1"/>
  <c r="R94" i="27"/>
  <c r="R93" i="27"/>
  <c r="V93" i="27" s="1"/>
  <c r="R92" i="27"/>
  <c r="V92" i="27" s="1"/>
  <c r="R91" i="27"/>
  <c r="U91" i="27" s="1"/>
  <c r="R90" i="27"/>
  <c r="V90" i="27" s="1"/>
  <c r="R89" i="27"/>
  <c r="U89" i="27" s="1"/>
  <c r="R88" i="27"/>
  <c r="U88" i="27" s="1"/>
  <c r="R87" i="27"/>
  <c r="V87" i="27" s="1"/>
  <c r="R86" i="27"/>
  <c r="R85" i="27"/>
  <c r="V85" i="27" s="1"/>
  <c r="R84" i="27"/>
  <c r="V84" i="27" s="1"/>
  <c r="R83" i="27"/>
  <c r="U83" i="27" s="1"/>
  <c r="R82" i="27"/>
  <c r="V82" i="27" s="1"/>
  <c r="R81" i="27"/>
  <c r="U81" i="27" s="1"/>
  <c r="R80" i="27"/>
  <c r="R79" i="27"/>
  <c r="W79" i="27" s="1"/>
  <c r="R78" i="27"/>
  <c r="R77" i="27"/>
  <c r="W77" i="27" s="1"/>
  <c r="R76" i="27"/>
  <c r="V76" i="27" s="1"/>
  <c r="R75" i="27"/>
  <c r="W75" i="27" s="1"/>
  <c r="R74" i="27"/>
  <c r="V74" i="27" s="1"/>
  <c r="P74" i="27"/>
  <c r="P75" i="27" s="1"/>
  <c r="P76" i="27" s="1"/>
  <c r="P77" i="27" s="1"/>
  <c r="P78" i="27" s="1"/>
  <c r="P79" i="27" s="1"/>
  <c r="P80" i="27" s="1"/>
  <c r="P81" i="27" s="1"/>
  <c r="P82" i="27" s="1"/>
  <c r="P83" i="27" s="1"/>
  <c r="P84" i="27" s="1"/>
  <c r="P85" i="27" s="1"/>
  <c r="P86" i="27" s="1"/>
  <c r="P87" i="27" s="1"/>
  <c r="P88" i="27" s="1"/>
  <c r="P89" i="27" s="1"/>
  <c r="P90" i="27" s="1"/>
  <c r="P91" i="27" s="1"/>
  <c r="P92" i="27" s="1"/>
  <c r="P93" i="27" s="1"/>
  <c r="P94" i="27" s="1"/>
  <c r="P95" i="27" s="1"/>
  <c r="P96" i="27" s="1"/>
  <c r="P97" i="27" s="1"/>
  <c r="P98" i="27" s="1"/>
  <c r="P99" i="27" s="1"/>
  <c r="P100" i="27" s="1"/>
  <c r="P101" i="27" s="1"/>
  <c r="P102" i="27" s="1"/>
  <c r="P103" i="27" s="1"/>
  <c r="R73" i="27"/>
  <c r="U73" i="27" s="1"/>
  <c r="X173" i="20"/>
  <c r="X172" i="20"/>
  <c r="X171" i="20"/>
  <c r="X170" i="20"/>
  <c r="X169" i="20"/>
  <c r="X168" i="20"/>
  <c r="X167" i="20"/>
  <c r="X166" i="20"/>
  <c r="X165" i="20"/>
  <c r="X164" i="20"/>
  <c r="X163" i="20"/>
  <c r="X162" i="20"/>
  <c r="X161" i="20"/>
  <c r="X160" i="20"/>
  <c r="X159" i="20"/>
  <c r="X158" i="20"/>
  <c r="X157" i="20"/>
  <c r="X156" i="20"/>
  <c r="X155" i="20"/>
  <c r="X154" i="20"/>
  <c r="X153" i="20"/>
  <c r="X152" i="20"/>
  <c r="R120" i="20"/>
  <c r="W138" i="20"/>
  <c r="W137" i="20"/>
  <c r="W136" i="20"/>
  <c r="W135" i="20"/>
  <c r="W134" i="20"/>
  <c r="W133" i="20"/>
  <c r="W132" i="20"/>
  <c r="W131" i="20"/>
  <c r="W130" i="20"/>
  <c r="W129" i="20"/>
  <c r="W128" i="20"/>
  <c r="W127" i="20"/>
  <c r="W126" i="20"/>
  <c r="W125" i="20"/>
  <c r="W124" i="20"/>
  <c r="W123" i="20"/>
  <c r="W122" i="20"/>
  <c r="W121" i="20"/>
  <c r="W120" i="20"/>
  <c r="W119" i="20"/>
  <c r="W118" i="20"/>
  <c r="W117" i="20"/>
  <c r="U102" i="26" l="1"/>
  <c r="U74" i="26"/>
  <c r="U82" i="26"/>
  <c r="V89" i="26"/>
  <c r="U95" i="27"/>
  <c r="U85" i="25"/>
  <c r="U73" i="25"/>
  <c r="U77" i="26"/>
  <c r="V143" i="26"/>
  <c r="U93" i="25"/>
  <c r="W108" i="26"/>
  <c r="U94" i="25"/>
  <c r="U93" i="26"/>
  <c r="U75" i="27"/>
  <c r="V75" i="27"/>
  <c r="U90" i="26"/>
  <c r="V94" i="26"/>
  <c r="V81" i="25"/>
  <c r="V86" i="25"/>
  <c r="U81" i="26"/>
  <c r="V87" i="26"/>
  <c r="V91" i="26"/>
  <c r="W76" i="25"/>
  <c r="U82" i="27"/>
  <c r="W74" i="27"/>
  <c r="U79" i="27"/>
  <c r="X143" i="27"/>
  <c r="V79" i="27"/>
  <c r="U87" i="27"/>
  <c r="U78" i="26"/>
  <c r="V74" i="26"/>
  <c r="U79" i="26"/>
  <c r="V79" i="26"/>
  <c r="V83" i="26"/>
  <c r="U98" i="26"/>
  <c r="V73" i="25"/>
  <c r="V143" i="25"/>
  <c r="U81" i="25"/>
  <c r="V73" i="27"/>
  <c r="V81" i="27"/>
  <c r="V97" i="27"/>
  <c r="V103" i="27"/>
  <c r="W73" i="27"/>
  <c r="W101" i="27" s="1"/>
  <c r="W81" i="27"/>
  <c r="V89" i="27"/>
  <c r="W101" i="26"/>
  <c r="W100" i="26"/>
  <c r="W84" i="26"/>
  <c r="W92" i="26"/>
  <c r="V83" i="27"/>
  <c r="U77" i="25"/>
  <c r="V87" i="25"/>
  <c r="V91" i="25"/>
  <c r="V102" i="25"/>
  <c r="V81" i="26"/>
  <c r="U95" i="26"/>
  <c r="V99" i="26"/>
  <c r="V91" i="27"/>
  <c r="V79" i="25"/>
  <c r="U74" i="27"/>
  <c r="W76" i="27"/>
  <c r="V108" i="27"/>
  <c r="V77" i="25"/>
  <c r="V95" i="25"/>
  <c r="V99" i="25"/>
  <c r="U73" i="26"/>
  <c r="V75" i="26"/>
  <c r="U85" i="26"/>
  <c r="U103" i="26"/>
  <c r="V99" i="27"/>
  <c r="V103" i="25"/>
  <c r="V73" i="26"/>
  <c r="U78" i="25"/>
  <c r="U89" i="25"/>
  <c r="W76" i="26"/>
  <c r="U86" i="26"/>
  <c r="U90" i="27"/>
  <c r="U98" i="27"/>
  <c r="V75" i="25"/>
  <c r="V78" i="25"/>
  <c r="U97" i="25"/>
  <c r="U101" i="25"/>
  <c r="V97" i="26"/>
  <c r="U101" i="26"/>
  <c r="V83" i="25"/>
  <c r="V108" i="25"/>
  <c r="W75" i="26"/>
  <c r="W83" i="26"/>
  <c r="W91" i="26"/>
  <c r="W99" i="26"/>
  <c r="U80" i="26"/>
  <c r="W82" i="26"/>
  <c r="U88" i="26"/>
  <c r="W90" i="26"/>
  <c r="U96" i="26"/>
  <c r="W98" i="26"/>
  <c r="V80" i="26"/>
  <c r="V88" i="26"/>
  <c r="W89" i="26"/>
  <c r="V96" i="26"/>
  <c r="W97" i="26"/>
  <c r="V112" i="26"/>
  <c r="V116" i="26"/>
  <c r="V123" i="26"/>
  <c r="V131" i="26"/>
  <c r="V159" i="26"/>
  <c r="V167" i="26"/>
  <c r="W80" i="26"/>
  <c r="W88" i="26"/>
  <c r="W96" i="26"/>
  <c r="W87" i="26"/>
  <c r="W95" i="26"/>
  <c r="W103" i="26"/>
  <c r="V173" i="26"/>
  <c r="U76" i="26"/>
  <c r="V77" i="26"/>
  <c r="W78" i="26"/>
  <c r="U84" i="26"/>
  <c r="W86" i="26"/>
  <c r="U92" i="26"/>
  <c r="W94" i="26"/>
  <c r="U100" i="26"/>
  <c r="W102" i="26"/>
  <c r="V146" i="26"/>
  <c r="V150" i="26"/>
  <c r="W85" i="26"/>
  <c r="W93" i="26"/>
  <c r="W101" i="25"/>
  <c r="W93" i="25"/>
  <c r="W85" i="25"/>
  <c r="W84" i="25"/>
  <c r="W102" i="25"/>
  <c r="W94" i="25"/>
  <c r="W86" i="25"/>
  <c r="W103" i="25"/>
  <c r="W95" i="25"/>
  <c r="W87" i="25"/>
  <c r="W100" i="25"/>
  <c r="W96" i="25"/>
  <c r="W88" i="25"/>
  <c r="W97" i="25"/>
  <c r="W89" i="25"/>
  <c r="W98" i="25"/>
  <c r="W90" i="25"/>
  <c r="W82" i="25"/>
  <c r="W99" i="25"/>
  <c r="W91" i="25"/>
  <c r="W83" i="25"/>
  <c r="W92" i="25"/>
  <c r="V74" i="25"/>
  <c r="W75" i="25"/>
  <c r="V82" i="25"/>
  <c r="V90" i="25"/>
  <c r="V98" i="25"/>
  <c r="V109" i="25"/>
  <c r="W74" i="25"/>
  <c r="U80" i="25"/>
  <c r="U88" i="25"/>
  <c r="U96" i="25"/>
  <c r="U79" i="25"/>
  <c r="V80" i="25"/>
  <c r="V88" i="25"/>
  <c r="V96" i="25"/>
  <c r="V112" i="25"/>
  <c r="V116" i="25"/>
  <c r="V123" i="25"/>
  <c r="V131" i="25"/>
  <c r="V159" i="25"/>
  <c r="V167" i="25"/>
  <c r="W80" i="25"/>
  <c r="V157" i="25"/>
  <c r="V165" i="25"/>
  <c r="V173" i="25"/>
  <c r="U76" i="25"/>
  <c r="U84" i="25"/>
  <c r="U92" i="25"/>
  <c r="U100" i="25"/>
  <c r="U80" i="27"/>
  <c r="U96" i="27"/>
  <c r="V80" i="27"/>
  <c r="V88" i="27"/>
  <c r="V96" i="27"/>
  <c r="V112" i="27"/>
  <c r="V116" i="27"/>
  <c r="V123" i="27"/>
  <c r="V131" i="27"/>
  <c r="V159" i="27"/>
  <c r="V167" i="27"/>
  <c r="U78" i="27"/>
  <c r="W80" i="27"/>
  <c r="U86" i="27"/>
  <c r="U94" i="27"/>
  <c r="U102" i="27"/>
  <c r="U77" i="27"/>
  <c r="V78" i="27"/>
  <c r="U85" i="27"/>
  <c r="V86" i="27"/>
  <c r="U93" i="27"/>
  <c r="V94" i="27"/>
  <c r="U101" i="27"/>
  <c r="V102" i="27"/>
  <c r="V111" i="27"/>
  <c r="V115" i="27"/>
  <c r="V121" i="27"/>
  <c r="V129" i="27"/>
  <c r="V137" i="27"/>
  <c r="V157" i="27"/>
  <c r="V165" i="27"/>
  <c r="V173" i="27"/>
  <c r="U76" i="27"/>
  <c r="V77" i="27"/>
  <c r="W78" i="27"/>
  <c r="U84" i="27"/>
  <c r="U92" i="27"/>
  <c r="U100" i="27"/>
  <c r="V146" i="27"/>
  <c r="V150" i="27"/>
  <c r="U173" i="20"/>
  <c r="U172" i="20"/>
  <c r="U171" i="20"/>
  <c r="U170" i="20"/>
  <c r="U169" i="20"/>
  <c r="U168" i="20"/>
  <c r="U167" i="20"/>
  <c r="U166" i="20"/>
  <c r="U165" i="20"/>
  <c r="U164" i="20"/>
  <c r="U163" i="20"/>
  <c r="U162" i="20"/>
  <c r="U161" i="20"/>
  <c r="U160" i="20"/>
  <c r="U159" i="20"/>
  <c r="U158" i="20"/>
  <c r="U157" i="20"/>
  <c r="U156" i="20"/>
  <c r="U155" i="20"/>
  <c r="U154" i="20"/>
  <c r="U153" i="20"/>
  <c r="U152" i="20"/>
  <c r="U151" i="20"/>
  <c r="U150" i="20"/>
  <c r="U149" i="20"/>
  <c r="U148" i="20"/>
  <c r="U147" i="20"/>
  <c r="U146" i="20"/>
  <c r="U145" i="20"/>
  <c r="U144" i="20"/>
  <c r="U143" i="20"/>
  <c r="R173" i="20"/>
  <c r="R172" i="20"/>
  <c r="V172" i="20" s="1"/>
  <c r="R171" i="20"/>
  <c r="V171" i="20" s="1"/>
  <c r="R170" i="20"/>
  <c r="R169" i="20"/>
  <c r="V169" i="20" s="1"/>
  <c r="R168" i="20"/>
  <c r="V168" i="20" s="1"/>
  <c r="R167" i="20"/>
  <c r="R166" i="20"/>
  <c r="R165" i="20"/>
  <c r="R164" i="20"/>
  <c r="V164" i="20" s="1"/>
  <c r="R163" i="20"/>
  <c r="V163" i="20" s="1"/>
  <c r="R162" i="20"/>
  <c r="V162" i="20" s="1"/>
  <c r="R161" i="20"/>
  <c r="V161" i="20" s="1"/>
  <c r="R160" i="20"/>
  <c r="V160" i="20" s="1"/>
  <c r="R159" i="20"/>
  <c r="R158" i="20"/>
  <c r="R157" i="20"/>
  <c r="R156" i="20"/>
  <c r="V156" i="20" s="1"/>
  <c r="R155" i="20"/>
  <c r="V155" i="20" s="1"/>
  <c r="R154" i="20"/>
  <c r="R153" i="20"/>
  <c r="V153" i="20" s="1"/>
  <c r="R152" i="20"/>
  <c r="V152" i="20" s="1"/>
  <c r="R151" i="20"/>
  <c r="R150" i="20"/>
  <c r="R149" i="20"/>
  <c r="R148" i="20"/>
  <c r="V148" i="20" s="1"/>
  <c r="R147" i="20"/>
  <c r="V147" i="20" s="1"/>
  <c r="R146" i="20"/>
  <c r="V146" i="20" s="1"/>
  <c r="R145" i="20"/>
  <c r="V145" i="20" s="1"/>
  <c r="R144" i="20"/>
  <c r="V144" i="20" s="1"/>
  <c r="P144" i="20"/>
  <c r="P145" i="20" s="1"/>
  <c r="P146" i="20" s="1"/>
  <c r="P147" i="20" s="1"/>
  <c r="P148" i="20" s="1"/>
  <c r="P149" i="20" s="1"/>
  <c r="P150" i="20" s="1"/>
  <c r="P151" i="20" s="1"/>
  <c r="P152" i="20" s="1"/>
  <c r="P153" i="20" s="1"/>
  <c r="P154" i="20" s="1"/>
  <c r="P155" i="20" s="1"/>
  <c r="P156" i="20" s="1"/>
  <c r="P157" i="20" s="1"/>
  <c r="P158" i="20" s="1"/>
  <c r="P159" i="20" s="1"/>
  <c r="P160" i="20" s="1"/>
  <c r="P161" i="20" s="1"/>
  <c r="P162" i="20" s="1"/>
  <c r="P163" i="20" s="1"/>
  <c r="P164" i="20" s="1"/>
  <c r="P165" i="20" s="1"/>
  <c r="P166" i="20" s="1"/>
  <c r="P167" i="20" s="1"/>
  <c r="P168" i="20" s="1"/>
  <c r="P169" i="20" s="1"/>
  <c r="P170" i="20" s="1"/>
  <c r="P171" i="20" s="1"/>
  <c r="P172" i="20" s="1"/>
  <c r="P173" i="20" s="1"/>
  <c r="R143" i="20"/>
  <c r="X143" i="20" s="1"/>
  <c r="U138" i="20"/>
  <c r="U137" i="20"/>
  <c r="U136" i="20"/>
  <c r="U135" i="20"/>
  <c r="U134" i="20"/>
  <c r="U133" i="20"/>
  <c r="U132" i="20"/>
  <c r="U131" i="20"/>
  <c r="U130" i="20"/>
  <c r="U129" i="20"/>
  <c r="U128" i="20"/>
  <c r="U127" i="20"/>
  <c r="U126" i="20"/>
  <c r="U125" i="20"/>
  <c r="U124" i="20"/>
  <c r="U123" i="20"/>
  <c r="U122" i="20"/>
  <c r="U121" i="20"/>
  <c r="U120" i="20"/>
  <c r="U119" i="20"/>
  <c r="U118" i="20"/>
  <c r="U117" i="20"/>
  <c r="U116" i="20"/>
  <c r="U115" i="20"/>
  <c r="U114" i="20"/>
  <c r="U113" i="20"/>
  <c r="U112" i="20"/>
  <c r="U111" i="20"/>
  <c r="U110" i="20"/>
  <c r="U109" i="20"/>
  <c r="U108" i="20"/>
  <c r="R138" i="20"/>
  <c r="V138" i="20" s="1"/>
  <c r="R137" i="20"/>
  <c r="V137" i="20" s="1"/>
  <c r="R136" i="20"/>
  <c r="V136" i="20" s="1"/>
  <c r="R135" i="20"/>
  <c r="V135" i="20" s="1"/>
  <c r="R134" i="20"/>
  <c r="V134" i="20" s="1"/>
  <c r="R133" i="20"/>
  <c r="V133" i="20" s="1"/>
  <c r="R132" i="20"/>
  <c r="V132" i="20" s="1"/>
  <c r="R131" i="20"/>
  <c r="V131" i="20" s="1"/>
  <c r="R130" i="20"/>
  <c r="V130" i="20" s="1"/>
  <c r="R129" i="20"/>
  <c r="V129" i="20" s="1"/>
  <c r="R128" i="20"/>
  <c r="V128" i="20" s="1"/>
  <c r="R127" i="20"/>
  <c r="V127" i="20" s="1"/>
  <c r="R126" i="20"/>
  <c r="V126" i="20" s="1"/>
  <c r="R125" i="20"/>
  <c r="V125" i="20" s="1"/>
  <c r="R124" i="20"/>
  <c r="V124" i="20" s="1"/>
  <c r="R123" i="20"/>
  <c r="V123" i="20" s="1"/>
  <c r="R122" i="20"/>
  <c r="V122" i="20" s="1"/>
  <c r="R121" i="20"/>
  <c r="V121" i="20" s="1"/>
  <c r="V120" i="20"/>
  <c r="R119" i="20"/>
  <c r="V119" i="20" s="1"/>
  <c r="R118" i="20"/>
  <c r="V118" i="20" s="1"/>
  <c r="R117" i="20"/>
  <c r="V117" i="20" s="1"/>
  <c r="R116" i="20"/>
  <c r="V116" i="20" s="1"/>
  <c r="R115" i="20"/>
  <c r="V115" i="20" s="1"/>
  <c r="R114" i="20"/>
  <c r="V114" i="20" s="1"/>
  <c r="R113" i="20"/>
  <c r="V113" i="20" s="1"/>
  <c r="R112" i="20"/>
  <c r="V112" i="20" s="1"/>
  <c r="R111" i="20"/>
  <c r="R110" i="20"/>
  <c r="V110" i="20" s="1"/>
  <c r="R109" i="20"/>
  <c r="V109" i="20" s="1"/>
  <c r="P109" i="20"/>
  <c r="P110" i="20" s="1"/>
  <c r="P111" i="20" s="1"/>
  <c r="P112" i="20" s="1"/>
  <c r="P113" i="20" s="1"/>
  <c r="P114" i="20" s="1"/>
  <c r="P115" i="20" s="1"/>
  <c r="P116" i="20" s="1"/>
  <c r="P117" i="20" s="1"/>
  <c r="P118" i="20" s="1"/>
  <c r="P119" i="20" s="1"/>
  <c r="P120" i="20" s="1"/>
  <c r="P121" i="20" s="1"/>
  <c r="P122" i="20" s="1"/>
  <c r="P123" i="20" s="1"/>
  <c r="P124" i="20" s="1"/>
  <c r="P125" i="20" s="1"/>
  <c r="P126" i="20" s="1"/>
  <c r="P127" i="20" s="1"/>
  <c r="P128" i="20" s="1"/>
  <c r="P129" i="20" s="1"/>
  <c r="P130" i="20" s="1"/>
  <c r="P131" i="20" s="1"/>
  <c r="P132" i="20" s="1"/>
  <c r="P133" i="20" s="1"/>
  <c r="P134" i="20" s="1"/>
  <c r="P135" i="20" s="1"/>
  <c r="P136" i="20" s="1"/>
  <c r="P137" i="20" s="1"/>
  <c r="P138" i="20" s="1"/>
  <c r="R108" i="20"/>
  <c r="W91" i="27" l="1"/>
  <c r="W102" i="27"/>
  <c r="W87" i="27"/>
  <c r="W88" i="27"/>
  <c r="W99" i="27"/>
  <c r="W103" i="27"/>
  <c r="W97" i="27"/>
  <c r="W94" i="27"/>
  <c r="W93" i="27"/>
  <c r="W86" i="27"/>
  <c r="W95" i="27"/>
  <c r="W85" i="27"/>
  <c r="W96" i="27"/>
  <c r="W92" i="27"/>
  <c r="W82" i="27"/>
  <c r="W98" i="27"/>
  <c r="W90" i="27"/>
  <c r="W84" i="27"/>
  <c r="W83" i="27"/>
  <c r="W89" i="27"/>
  <c r="W100" i="27"/>
  <c r="V108" i="20"/>
  <c r="W108" i="20"/>
  <c r="V111" i="20"/>
  <c r="V154" i="20"/>
  <c r="V170" i="20"/>
  <c r="V143" i="20"/>
  <c r="V151" i="20"/>
  <c r="V159" i="20"/>
  <c r="V167" i="20"/>
  <c r="V150" i="20"/>
  <c r="V158" i="20"/>
  <c r="V166" i="20"/>
  <c r="V149" i="20"/>
  <c r="V157" i="20"/>
  <c r="V165" i="20"/>
  <c r="V173" i="20"/>
  <c r="L43" i="26" l="1"/>
  <c r="N43" i="26" s="1"/>
  <c r="L43" i="25"/>
  <c r="N43" i="25" s="1"/>
  <c r="L43" i="27"/>
  <c r="N43" i="27" s="1"/>
  <c r="N42" i="26"/>
  <c r="N40" i="26"/>
  <c r="N42" i="25"/>
  <c r="N40" i="25"/>
  <c r="N42" i="27"/>
  <c r="N40" i="27"/>
  <c r="J25" i="34"/>
  <c r="N40" i="20"/>
  <c r="N42" i="20"/>
  <c r="J25" i="33" l="1"/>
  <c r="J25" i="32"/>
  <c r="H26" i="28"/>
  <c r="D26" i="28"/>
  <c r="H25" i="28"/>
  <c r="D25" i="28"/>
  <c r="F17" i="20" l="1"/>
  <c r="H16" i="20"/>
  <c r="F16" i="20"/>
  <c r="H15" i="20"/>
  <c r="F15" i="20"/>
  <c r="H14" i="20"/>
  <c r="F14" i="20"/>
  <c r="F13" i="20"/>
  <c r="F12" i="20"/>
  <c r="F11" i="20"/>
  <c r="W143" i="20" l="1"/>
  <c r="H24" i="28"/>
  <c r="H27" i="28"/>
  <c r="L34" i="26" l="1"/>
  <c r="M34" i="26" s="1"/>
  <c r="N34" i="26" s="1"/>
  <c r="L33" i="26"/>
  <c r="M33" i="26" s="1"/>
  <c r="N33" i="26" s="1"/>
  <c r="L32" i="26"/>
  <c r="M32" i="26" s="1"/>
  <c r="N32" i="26" s="1"/>
  <c r="L27" i="26"/>
  <c r="M27" i="26" s="1"/>
  <c r="N27" i="26" s="1"/>
  <c r="L24" i="26"/>
  <c r="L34" i="25"/>
  <c r="M34" i="25" s="1"/>
  <c r="N34" i="25" s="1"/>
  <c r="L33" i="25"/>
  <c r="M33" i="25" s="1"/>
  <c r="N33" i="25" s="1"/>
  <c r="L32" i="25"/>
  <c r="M32" i="25" s="1"/>
  <c r="N32" i="25" s="1"/>
  <c r="L27" i="25"/>
  <c r="M27" i="25" s="1"/>
  <c r="N27" i="25" s="1"/>
  <c r="L24" i="25"/>
  <c r="L34" i="27"/>
  <c r="M34" i="27" s="1"/>
  <c r="N34" i="27" s="1"/>
  <c r="L33" i="27"/>
  <c r="M33" i="27" s="1"/>
  <c r="N33" i="27" s="1"/>
  <c r="L32" i="27"/>
  <c r="M32" i="27" s="1"/>
  <c r="N32" i="27" s="1"/>
  <c r="L27" i="27"/>
  <c r="M27" i="27" s="1"/>
  <c r="N27" i="27" s="1"/>
  <c r="L24" i="27"/>
  <c r="M24" i="27" s="1"/>
  <c r="M24" i="26" l="1"/>
  <c r="M24" i="25"/>
  <c r="N24" i="27"/>
  <c r="H17" i="26"/>
  <c r="R103" i="20"/>
  <c r="V103" i="20" s="1"/>
  <c r="R102" i="20"/>
  <c r="V102" i="20" s="1"/>
  <c r="R101" i="20"/>
  <c r="R100" i="20"/>
  <c r="V100" i="20" s="1"/>
  <c r="R99" i="20"/>
  <c r="V99" i="20" s="1"/>
  <c r="R98" i="20"/>
  <c r="V98" i="20" s="1"/>
  <c r="R97" i="20"/>
  <c r="V97" i="20" s="1"/>
  <c r="R96" i="20"/>
  <c r="V96" i="20" s="1"/>
  <c r="R95" i="20"/>
  <c r="V95" i="20" s="1"/>
  <c r="R94" i="20"/>
  <c r="V94" i="20" s="1"/>
  <c r="R93" i="20"/>
  <c r="V93" i="20" s="1"/>
  <c r="R92" i="20"/>
  <c r="V92" i="20" s="1"/>
  <c r="R91" i="20"/>
  <c r="V91" i="20" s="1"/>
  <c r="R90" i="20"/>
  <c r="V90" i="20" s="1"/>
  <c r="R89" i="20"/>
  <c r="V89" i="20" s="1"/>
  <c r="R88" i="20"/>
  <c r="V88" i="20" s="1"/>
  <c r="R87" i="20"/>
  <c r="U87" i="20" s="1"/>
  <c r="R86" i="20"/>
  <c r="U86" i="20" s="1"/>
  <c r="R85" i="20"/>
  <c r="R84" i="20"/>
  <c r="V84" i="20" s="1"/>
  <c r="R83" i="20"/>
  <c r="U83" i="20" s="1"/>
  <c r="R82" i="20"/>
  <c r="V82" i="20" s="1"/>
  <c r="R81" i="20"/>
  <c r="R80" i="20"/>
  <c r="R79" i="20"/>
  <c r="R78" i="20"/>
  <c r="R77" i="20"/>
  <c r="W77" i="20" s="1"/>
  <c r="H18" i="27"/>
  <c r="D18" i="20"/>
  <c r="F18" i="20"/>
  <c r="V81" i="20" l="1"/>
  <c r="W81" i="20"/>
  <c r="V80" i="20"/>
  <c r="W80" i="20"/>
  <c r="V79" i="20"/>
  <c r="W79" i="20"/>
  <c r="V78" i="20"/>
  <c r="W78" i="20"/>
  <c r="U78" i="20"/>
  <c r="U80" i="20"/>
  <c r="V86" i="20"/>
  <c r="N24" i="26"/>
  <c r="N24" i="25"/>
  <c r="U84" i="20"/>
  <c r="U82" i="20"/>
  <c r="U88" i="20"/>
  <c r="U90" i="20"/>
  <c r="U92" i="20"/>
  <c r="U94" i="20"/>
  <c r="U96" i="20"/>
  <c r="U98" i="20"/>
  <c r="U100" i="20"/>
  <c r="U102" i="20"/>
  <c r="V83" i="20"/>
  <c r="V87" i="20"/>
  <c r="U77" i="20"/>
  <c r="U81" i="20"/>
  <c r="U85" i="20"/>
  <c r="U89" i="20"/>
  <c r="U93" i="20"/>
  <c r="U97" i="20"/>
  <c r="U101" i="20"/>
  <c r="V101" i="20"/>
  <c r="V77" i="20"/>
  <c r="V85" i="20"/>
  <c r="U79" i="20"/>
  <c r="U91" i="20"/>
  <c r="U95" i="20"/>
  <c r="U99" i="20"/>
  <c r="U103" i="20"/>
  <c r="K47" i="34"/>
  <c r="H19" i="26"/>
  <c r="F19" i="26"/>
  <c r="K47" i="32"/>
  <c r="K47" i="33"/>
  <c r="F19" i="25"/>
  <c r="H19" i="25"/>
  <c r="F18" i="27"/>
  <c r="H17" i="25"/>
  <c r="C18" i="25"/>
  <c r="F13" i="26"/>
  <c r="H13" i="26"/>
  <c r="F13" i="25"/>
  <c r="H13" i="25"/>
  <c r="C17" i="25"/>
  <c r="L20" i="27"/>
  <c r="M20" i="27" s="1"/>
  <c r="N20" i="27" s="1"/>
  <c r="H12" i="27"/>
  <c r="L33" i="20"/>
  <c r="M33" i="20" s="1"/>
  <c r="N33" i="20" s="1"/>
  <c r="L32" i="20"/>
  <c r="M32" i="20" s="1"/>
  <c r="N32" i="20" s="1"/>
  <c r="B16" i="36"/>
  <c r="B18" i="36" s="1"/>
  <c r="D12" i="26" l="1"/>
  <c r="H24" i="34"/>
  <c r="H25" i="34"/>
  <c r="H26" i="34"/>
  <c r="H27" i="34"/>
  <c r="D27" i="34"/>
  <c r="D26" i="34"/>
  <c r="D25" i="34"/>
  <c r="D24" i="34"/>
  <c r="H28" i="34" l="1"/>
  <c r="F28" i="34"/>
  <c r="B13" i="20"/>
  <c r="D13" i="20"/>
  <c r="I13" i="20" s="1"/>
  <c r="K13" i="20"/>
  <c r="D15" i="20"/>
  <c r="I15" i="20" s="1"/>
  <c r="L13" i="20" l="1"/>
  <c r="M13" i="20" s="1"/>
  <c r="N13" i="20" s="1"/>
  <c r="D14" i="33" l="1"/>
  <c r="D13" i="33"/>
  <c r="H15" i="25" l="1"/>
  <c r="H21" i="34" l="1"/>
  <c r="F21" i="34"/>
  <c r="D21" i="34"/>
  <c r="F17" i="26"/>
  <c r="F18" i="26"/>
  <c r="H18" i="26"/>
  <c r="H15" i="26"/>
  <c r="D28" i="34" s="1"/>
  <c r="H14" i="26"/>
  <c r="H12" i="26"/>
  <c r="H11" i="26"/>
  <c r="F15" i="26"/>
  <c r="F14" i="26"/>
  <c r="F12" i="26"/>
  <c r="F11" i="26"/>
  <c r="H21" i="33"/>
  <c r="F21" i="33"/>
  <c r="D21" i="33"/>
  <c r="W143" i="26" l="1"/>
  <c r="F17" i="25"/>
  <c r="H18" i="25"/>
  <c r="H14" i="25"/>
  <c r="H12" i="25"/>
  <c r="H11" i="25"/>
  <c r="F15" i="25"/>
  <c r="F14" i="25"/>
  <c r="F12" i="25"/>
  <c r="F11" i="25"/>
  <c r="H21" i="32"/>
  <c r="F21" i="32"/>
  <c r="D21" i="32"/>
  <c r="F19" i="27"/>
  <c r="H17" i="27"/>
  <c r="H16" i="27"/>
  <c r="H15" i="27"/>
  <c r="H14" i="27"/>
  <c r="H13" i="27"/>
  <c r="H21" i="28"/>
  <c r="F21" i="28"/>
  <c r="D21" i="28"/>
  <c r="W143" i="25" l="1"/>
  <c r="F18" i="25"/>
  <c r="H24" i="33" l="1"/>
  <c r="H25" i="33"/>
  <c r="H26" i="33"/>
  <c r="H27" i="33"/>
  <c r="D19" i="25"/>
  <c r="K19" i="25"/>
  <c r="B19" i="25"/>
  <c r="B19" i="26"/>
  <c r="D19" i="26"/>
  <c r="K19" i="26"/>
  <c r="D24" i="33"/>
  <c r="K13" i="25"/>
  <c r="D25" i="33"/>
  <c r="D26" i="33"/>
  <c r="D27" i="33"/>
  <c r="B13" i="25"/>
  <c r="D13" i="25"/>
  <c r="B13" i="26"/>
  <c r="D13" i="26"/>
  <c r="D15" i="25"/>
  <c r="I15" i="25" s="1"/>
  <c r="K13" i="26"/>
  <c r="D14" i="34"/>
  <c r="D14" i="32"/>
  <c r="D14" i="28"/>
  <c r="D28" i="33" l="1"/>
  <c r="H28" i="33"/>
  <c r="F28" i="33"/>
  <c r="I19" i="26"/>
  <c r="L19" i="26" s="1"/>
  <c r="M19" i="26" s="1"/>
  <c r="N19" i="26" s="1"/>
  <c r="I19" i="25"/>
  <c r="L19" i="25" s="1"/>
  <c r="M19" i="25" s="1"/>
  <c r="N19" i="25" s="1"/>
  <c r="I13" i="25"/>
  <c r="L13" i="25" s="1"/>
  <c r="M13" i="25" s="1"/>
  <c r="N13" i="25" s="1"/>
  <c r="I13" i="26"/>
  <c r="L13" i="26" s="1"/>
  <c r="M13" i="26" s="1"/>
  <c r="N13" i="26" s="1"/>
  <c r="H26" i="32" l="1"/>
  <c r="H27" i="32"/>
  <c r="B18" i="27"/>
  <c r="D18" i="27"/>
  <c r="K18" i="27"/>
  <c r="D24" i="32"/>
  <c r="D27" i="32"/>
  <c r="D26" i="32"/>
  <c r="D25" i="32"/>
  <c r="D20" i="27"/>
  <c r="B12" i="27"/>
  <c r="B20" i="27"/>
  <c r="D12" i="27"/>
  <c r="B11" i="27"/>
  <c r="K12" i="27"/>
  <c r="R76" i="20"/>
  <c r="W76" i="20" s="1"/>
  <c r="R75" i="20"/>
  <c r="W75" i="20" s="1"/>
  <c r="R74" i="20"/>
  <c r="W74" i="20" s="1"/>
  <c r="P74" i="20"/>
  <c r="P75" i="20" s="1"/>
  <c r="P76" i="20" s="1"/>
  <c r="P77" i="20" s="1"/>
  <c r="P78" i="20" s="1"/>
  <c r="P79" i="20" s="1"/>
  <c r="P80" i="20" s="1"/>
  <c r="P81" i="20" s="1"/>
  <c r="P82" i="20" s="1"/>
  <c r="P83" i="20" s="1"/>
  <c r="P84" i="20" s="1"/>
  <c r="P85" i="20" s="1"/>
  <c r="P86" i="20" s="1"/>
  <c r="P87" i="20" s="1"/>
  <c r="P88" i="20" s="1"/>
  <c r="P89" i="20" s="1"/>
  <c r="P90" i="20" s="1"/>
  <c r="P91" i="20" s="1"/>
  <c r="P92" i="20" s="1"/>
  <c r="P93" i="20" s="1"/>
  <c r="P94" i="20" s="1"/>
  <c r="P95" i="20" s="1"/>
  <c r="P96" i="20" s="1"/>
  <c r="P97" i="20" s="1"/>
  <c r="P98" i="20" s="1"/>
  <c r="P99" i="20" s="1"/>
  <c r="P100" i="20" s="1"/>
  <c r="P101" i="20" s="1"/>
  <c r="P102" i="20" s="1"/>
  <c r="P103" i="20" s="1"/>
  <c r="R73" i="20"/>
  <c r="W73" i="20" s="1"/>
  <c r="L43" i="20"/>
  <c r="N43" i="20" s="1"/>
  <c r="L34" i="20"/>
  <c r="M34" i="20" s="1"/>
  <c r="N34" i="20" s="1"/>
  <c r="L27" i="20"/>
  <c r="M27" i="20" s="1"/>
  <c r="N27" i="20" s="1"/>
  <c r="L24" i="20"/>
  <c r="M24" i="20" s="1"/>
  <c r="F17" i="27"/>
  <c r="F16" i="27"/>
  <c r="H11" i="27"/>
  <c r="D15" i="27"/>
  <c r="I15" i="27" s="1"/>
  <c r="W143" i="27" l="1"/>
  <c r="W101" i="20"/>
  <c r="W93" i="20"/>
  <c r="W85" i="20"/>
  <c r="W99" i="20"/>
  <c r="W82" i="20"/>
  <c r="W103" i="20"/>
  <c r="W100" i="20"/>
  <c r="W92" i="20"/>
  <c r="W84" i="20"/>
  <c r="W91" i="20"/>
  <c r="W83" i="20"/>
  <c r="W90" i="20"/>
  <c r="W96" i="20"/>
  <c r="W95" i="20"/>
  <c r="W102" i="20"/>
  <c r="W98" i="20"/>
  <c r="W88" i="20"/>
  <c r="W87" i="20"/>
  <c r="W94" i="20"/>
  <c r="W97" i="20"/>
  <c r="W89" i="20"/>
  <c r="W86" i="20"/>
  <c r="J25" i="28"/>
  <c r="I18" i="27"/>
  <c r="L18" i="27" s="1"/>
  <c r="M18" i="27" s="1"/>
  <c r="N18" i="27" s="1"/>
  <c r="I12" i="27"/>
  <c r="L12" i="27" s="1"/>
  <c r="M12" i="27" s="1"/>
  <c r="N12" i="27" s="1"/>
  <c r="V75" i="20"/>
  <c r="V76" i="20"/>
  <c r="V73" i="20"/>
  <c r="V74" i="20"/>
  <c r="U74" i="20"/>
  <c r="U75" i="20"/>
  <c r="U73" i="20"/>
  <c r="N24" i="20"/>
  <c r="U76" i="20" l="1"/>
  <c r="D31" i="34" l="1"/>
  <c r="D30" i="34"/>
  <c r="D29" i="34"/>
  <c r="H23" i="34"/>
  <c r="D23" i="34"/>
  <c r="B20" i="34"/>
  <c r="D13" i="34"/>
  <c r="D31" i="33"/>
  <c r="D30" i="33"/>
  <c r="D29" i="33"/>
  <c r="H23" i="33"/>
  <c r="D23" i="33"/>
  <c r="B20" i="33"/>
  <c r="D31" i="32"/>
  <c r="D30" i="32"/>
  <c r="D29" i="32"/>
  <c r="D23" i="32"/>
  <c r="B20" i="32"/>
  <c r="D13" i="32"/>
  <c r="D31" i="28" l="1"/>
  <c r="D13" i="28"/>
  <c r="K47" i="28"/>
  <c r="D30" i="28"/>
  <c r="D29" i="28"/>
  <c r="D27" i="28"/>
  <c r="D24" i="28"/>
  <c r="H23" i="28"/>
  <c r="D23" i="28"/>
  <c r="B20" i="28"/>
  <c r="K16" i="26"/>
  <c r="K15" i="26"/>
  <c r="K14" i="26"/>
  <c r="K16" i="25"/>
  <c r="K15" i="25"/>
  <c r="D16" i="26"/>
  <c r="D15" i="26"/>
  <c r="I15" i="26" s="1"/>
  <c r="D14" i="26"/>
  <c r="I12" i="26"/>
  <c r="D11" i="26"/>
  <c r="I11" i="26" s="1"/>
  <c r="D16" i="25"/>
  <c r="I16" i="25" s="1"/>
  <c r="D14" i="25"/>
  <c r="I14" i="25" s="1"/>
  <c r="D12" i="25"/>
  <c r="I12" i="25" s="1"/>
  <c r="D11" i="25"/>
  <c r="I11" i="25" s="1"/>
  <c r="B16" i="26"/>
  <c r="B15" i="26"/>
  <c r="B14" i="26"/>
  <c r="B12" i="26"/>
  <c r="B11" i="26"/>
  <c r="B16" i="25"/>
  <c r="B15" i="25"/>
  <c r="B14" i="25"/>
  <c r="B12" i="25"/>
  <c r="B11" i="25"/>
  <c r="F28" i="28" l="1"/>
  <c r="D28" i="28"/>
  <c r="H28" i="28"/>
  <c r="I14" i="26"/>
  <c r="L14" i="26" s="1"/>
  <c r="M14" i="26" s="1"/>
  <c r="N14" i="26" s="1"/>
  <c r="L16" i="26"/>
  <c r="M16" i="26" s="1"/>
  <c r="N16" i="26" s="1"/>
  <c r="I16" i="26"/>
  <c r="B17" i="25"/>
  <c r="D17" i="25"/>
  <c r="I17" i="25" s="1"/>
  <c r="I21" i="25" s="1"/>
  <c r="L16" i="25"/>
  <c r="M16" i="25" s="1"/>
  <c r="N16" i="25" s="1"/>
  <c r="B18" i="25"/>
  <c r="D18" i="25"/>
  <c r="I18" i="25" s="1"/>
  <c r="L15" i="25"/>
  <c r="M15" i="25" s="1"/>
  <c r="N15" i="25" s="1"/>
  <c r="K30" i="25" l="1"/>
  <c r="L30" i="25" s="1"/>
  <c r="M30" i="25" s="1"/>
  <c r="N30" i="25" s="1"/>
  <c r="K31" i="25"/>
  <c r="L31" i="25" s="1"/>
  <c r="M31" i="25" s="1"/>
  <c r="N31" i="25" s="1"/>
  <c r="K25" i="25"/>
  <c r="L25" i="25" s="1"/>
  <c r="M25" i="25" s="1"/>
  <c r="N25" i="25" s="1"/>
  <c r="K28" i="25"/>
  <c r="L28" i="25" s="1"/>
  <c r="M28" i="25" s="1"/>
  <c r="N28" i="25" s="1"/>
  <c r="K29" i="25"/>
  <c r="L29" i="25" s="1"/>
  <c r="M29" i="25" s="1"/>
  <c r="N29" i="25" s="1"/>
  <c r="K18" i="20"/>
  <c r="D14" i="20"/>
  <c r="I14" i="20" s="1"/>
  <c r="I12" i="20"/>
  <c r="D11" i="20"/>
  <c r="I11" i="20" s="1"/>
  <c r="B18" i="20"/>
  <c r="B15" i="20"/>
  <c r="B14" i="20"/>
  <c r="B12" i="20"/>
  <c r="B11" i="20"/>
  <c r="K12" i="26"/>
  <c r="K11" i="26" l="1"/>
  <c r="K14" i="25"/>
  <c r="L14" i="25" s="1"/>
  <c r="M14" i="25" s="1"/>
  <c r="N14" i="25" s="1"/>
  <c r="K12" i="25"/>
  <c r="L12" i="25" s="1"/>
  <c r="M12" i="25" s="1"/>
  <c r="N12" i="25" s="1"/>
  <c r="K11" i="25"/>
  <c r="L11" i="25" s="1"/>
  <c r="K18" i="25"/>
  <c r="L18" i="25" s="1"/>
  <c r="M18" i="25" s="1"/>
  <c r="N18" i="25" s="1"/>
  <c r="K17" i="25"/>
  <c r="L17" i="25" s="1"/>
  <c r="M17" i="25" s="1"/>
  <c r="N17" i="25" s="1"/>
  <c r="K11" i="20"/>
  <c r="K12" i="20"/>
  <c r="K14" i="20"/>
  <c r="S169" i="25" l="1"/>
  <c r="Y169" i="25" s="1"/>
  <c r="S161" i="25"/>
  <c r="Y161" i="25" s="1"/>
  <c r="S153" i="25"/>
  <c r="Y153" i="25" s="1"/>
  <c r="S133" i="25"/>
  <c r="X133" i="25" s="1"/>
  <c r="S125" i="25"/>
  <c r="X125" i="25" s="1"/>
  <c r="S117" i="25"/>
  <c r="X117" i="25" s="1"/>
  <c r="S113" i="25"/>
  <c r="X113" i="25" s="1"/>
  <c r="S109" i="25"/>
  <c r="X109" i="25" s="1"/>
  <c r="S98" i="25"/>
  <c r="X98" i="25" s="1"/>
  <c r="S90" i="25"/>
  <c r="X90" i="25" s="1"/>
  <c r="S82" i="25"/>
  <c r="X82" i="25" s="1"/>
  <c r="S74" i="25"/>
  <c r="X74" i="25" s="1"/>
  <c r="S89" i="25"/>
  <c r="X89" i="25" s="1"/>
  <c r="S170" i="25"/>
  <c r="Y170" i="25" s="1"/>
  <c r="S162" i="25"/>
  <c r="Y162" i="25" s="1"/>
  <c r="S154" i="25"/>
  <c r="Y154" i="25" s="1"/>
  <c r="S149" i="25"/>
  <c r="Y149" i="25" s="1"/>
  <c r="S145" i="25"/>
  <c r="Y145" i="25" s="1"/>
  <c r="S134" i="25"/>
  <c r="X134" i="25" s="1"/>
  <c r="S126" i="25"/>
  <c r="X126" i="25" s="1"/>
  <c r="S118" i="25"/>
  <c r="X118" i="25" s="1"/>
  <c r="S99" i="25"/>
  <c r="X99" i="25" s="1"/>
  <c r="S91" i="25"/>
  <c r="X91" i="25" s="1"/>
  <c r="S83" i="25"/>
  <c r="X83" i="25" s="1"/>
  <c r="S75" i="25"/>
  <c r="X75" i="25" s="1"/>
  <c r="S168" i="25"/>
  <c r="Y168" i="25" s="1"/>
  <c r="S132" i="25"/>
  <c r="X132" i="25" s="1"/>
  <c r="S171" i="25"/>
  <c r="Y171" i="25" s="1"/>
  <c r="S163" i="25"/>
  <c r="Y163" i="25" s="1"/>
  <c r="S155" i="25"/>
  <c r="Y155" i="25" s="1"/>
  <c r="S135" i="25"/>
  <c r="X135" i="25" s="1"/>
  <c r="S127" i="25"/>
  <c r="X127" i="25" s="1"/>
  <c r="S119" i="25"/>
  <c r="X119" i="25" s="1"/>
  <c r="S114" i="25"/>
  <c r="X114" i="25" s="1"/>
  <c r="S110" i="25"/>
  <c r="X110" i="25" s="1"/>
  <c r="S100" i="25"/>
  <c r="X100" i="25" s="1"/>
  <c r="S92" i="25"/>
  <c r="X92" i="25" s="1"/>
  <c r="S84" i="25"/>
  <c r="X84" i="25" s="1"/>
  <c r="S76" i="25"/>
  <c r="X76" i="25" s="1"/>
  <c r="S148" i="25"/>
  <c r="Y148" i="25" s="1"/>
  <c r="S172" i="25"/>
  <c r="Y172" i="25" s="1"/>
  <c r="S164" i="25"/>
  <c r="Y164" i="25" s="1"/>
  <c r="S156" i="25"/>
  <c r="Y156" i="25" s="1"/>
  <c r="S150" i="25"/>
  <c r="Y150" i="25" s="1"/>
  <c r="S146" i="25"/>
  <c r="Y146" i="25" s="1"/>
  <c r="S136" i="25"/>
  <c r="X136" i="25" s="1"/>
  <c r="S128" i="25"/>
  <c r="X128" i="25" s="1"/>
  <c r="S120" i="25"/>
  <c r="X120" i="25" s="1"/>
  <c r="S101" i="25"/>
  <c r="X101" i="25" s="1"/>
  <c r="S93" i="25"/>
  <c r="X93" i="25" s="1"/>
  <c r="S85" i="25"/>
  <c r="X85" i="25" s="1"/>
  <c r="S77" i="25"/>
  <c r="X77" i="25" s="1"/>
  <c r="S73" i="25"/>
  <c r="X73" i="25" s="1"/>
  <c r="S173" i="25"/>
  <c r="Y173" i="25" s="1"/>
  <c r="S165" i="25"/>
  <c r="Y165" i="25" s="1"/>
  <c r="S157" i="25"/>
  <c r="Y157" i="25" s="1"/>
  <c r="S137" i="25"/>
  <c r="X137" i="25" s="1"/>
  <c r="S129" i="25"/>
  <c r="X129" i="25" s="1"/>
  <c r="S121" i="25"/>
  <c r="X121" i="25" s="1"/>
  <c r="S115" i="25"/>
  <c r="X115" i="25" s="1"/>
  <c r="S111" i="25"/>
  <c r="X111" i="25" s="1"/>
  <c r="S102" i="25"/>
  <c r="X102" i="25" s="1"/>
  <c r="S94" i="25"/>
  <c r="X94" i="25" s="1"/>
  <c r="S86" i="25"/>
  <c r="X86" i="25" s="1"/>
  <c r="S78" i="25"/>
  <c r="X78" i="25" s="1"/>
  <c r="S152" i="25"/>
  <c r="Y152" i="25" s="1"/>
  <c r="S144" i="25"/>
  <c r="Y144" i="25" s="1"/>
  <c r="S124" i="25"/>
  <c r="X124" i="25" s="1"/>
  <c r="S81" i="25"/>
  <c r="X81" i="25" s="1"/>
  <c r="S166" i="25"/>
  <c r="Y166" i="25" s="1"/>
  <c r="S158" i="25"/>
  <c r="Y158" i="25" s="1"/>
  <c r="S151" i="25"/>
  <c r="Y151" i="25" s="1"/>
  <c r="S147" i="25"/>
  <c r="Y147" i="25" s="1"/>
  <c r="S138" i="25"/>
  <c r="X138" i="25" s="1"/>
  <c r="S130" i="25"/>
  <c r="X130" i="25" s="1"/>
  <c r="S122" i="25"/>
  <c r="X122" i="25" s="1"/>
  <c r="S103" i="25"/>
  <c r="X103" i="25" s="1"/>
  <c r="S95" i="25"/>
  <c r="X95" i="25" s="1"/>
  <c r="S87" i="25"/>
  <c r="X87" i="25" s="1"/>
  <c r="S79" i="25"/>
  <c r="X79" i="25" s="1"/>
  <c r="S160" i="25"/>
  <c r="Y160" i="25" s="1"/>
  <c r="S143" i="25"/>
  <c r="Y143" i="25" s="1"/>
  <c r="S97" i="25"/>
  <c r="X97" i="25" s="1"/>
  <c r="S167" i="25"/>
  <c r="Y167" i="25" s="1"/>
  <c r="S159" i="25"/>
  <c r="Y159" i="25" s="1"/>
  <c r="S131" i="25"/>
  <c r="X131" i="25" s="1"/>
  <c r="S123" i="25"/>
  <c r="X123" i="25" s="1"/>
  <c r="S116" i="25"/>
  <c r="X116" i="25" s="1"/>
  <c r="K26" i="25" s="1"/>
  <c r="L26" i="25" s="1"/>
  <c r="S112" i="25"/>
  <c r="X112" i="25" s="1"/>
  <c r="S96" i="25"/>
  <c r="X96" i="25" s="1"/>
  <c r="S88" i="25"/>
  <c r="X88" i="25" s="1"/>
  <c r="S80" i="25"/>
  <c r="X80" i="25" s="1"/>
  <c r="S108" i="25"/>
  <c r="X108" i="25" s="1"/>
  <c r="M11" i="25"/>
  <c r="N11" i="25" s="1"/>
  <c r="L35" i="25" l="1"/>
  <c r="M26" i="25"/>
  <c r="M35" i="25" l="1"/>
  <c r="N26" i="25"/>
  <c r="N35" i="25" s="1"/>
  <c r="C17" i="27"/>
  <c r="B17" i="27" s="1"/>
  <c r="C16" i="27"/>
  <c r="L15" i="26" l="1"/>
  <c r="M15" i="26" s="1"/>
  <c r="N15" i="26" s="1"/>
  <c r="B14" i="27"/>
  <c r="B15" i="27"/>
  <c r="D14" i="27"/>
  <c r="I14" i="27" s="1"/>
  <c r="F14" i="27"/>
  <c r="D19" i="27"/>
  <c r="I19" i="27" s="1"/>
  <c r="D17" i="27"/>
  <c r="I17" i="27" s="1"/>
  <c r="K16" i="27"/>
  <c r="K13" i="27"/>
  <c r="D13" i="27"/>
  <c r="I13" i="27" s="1"/>
  <c r="B13" i="27"/>
  <c r="K11" i="27"/>
  <c r="D11" i="27"/>
  <c r="I11" i="27" s="1"/>
  <c r="C18" i="26"/>
  <c r="C17" i="26"/>
  <c r="I18" i="20"/>
  <c r="L18" i="20" s="1"/>
  <c r="M18" i="20" s="1"/>
  <c r="N18" i="20" s="1"/>
  <c r="C17" i="20"/>
  <c r="C16" i="20"/>
  <c r="K17" i="26" l="1"/>
  <c r="B17" i="26"/>
  <c r="D17" i="26"/>
  <c r="I17" i="26" s="1"/>
  <c r="K18" i="26"/>
  <c r="B18" i="26"/>
  <c r="D18" i="26"/>
  <c r="I18" i="26" s="1"/>
  <c r="K16" i="20"/>
  <c r="D16" i="20"/>
  <c r="B16" i="20"/>
  <c r="K17" i="20"/>
  <c r="D17" i="20"/>
  <c r="I17" i="20" s="1"/>
  <c r="B17" i="20"/>
  <c r="K17" i="27"/>
  <c r="B19" i="27"/>
  <c r="B16" i="27"/>
  <c r="L12" i="26"/>
  <c r="M12" i="26" s="1"/>
  <c r="N12" i="26" s="1"/>
  <c r="L13" i="27"/>
  <c r="M13" i="27" s="1"/>
  <c r="N13" i="27" s="1"/>
  <c r="L15" i="27"/>
  <c r="M15" i="27" s="1"/>
  <c r="N15" i="27" s="1"/>
  <c r="L11" i="27"/>
  <c r="D16" i="27"/>
  <c r="I16" i="27" s="1"/>
  <c r="I21" i="27" s="1"/>
  <c r="K19" i="27"/>
  <c r="L11" i="26"/>
  <c r="K30" i="27" l="1"/>
  <c r="L30" i="27" s="1"/>
  <c r="M30" i="27" s="1"/>
  <c r="N30" i="27" s="1"/>
  <c r="K31" i="27"/>
  <c r="L31" i="27" s="1"/>
  <c r="M31" i="27" s="1"/>
  <c r="N31" i="27" s="1"/>
  <c r="K29" i="27"/>
  <c r="L29" i="27" s="1"/>
  <c r="M29" i="27" s="1"/>
  <c r="N29" i="27" s="1"/>
  <c r="K25" i="27"/>
  <c r="L25" i="27" s="1"/>
  <c r="M25" i="27" s="1"/>
  <c r="N25" i="27" s="1"/>
  <c r="K28" i="27"/>
  <c r="L28" i="27" s="1"/>
  <c r="M28" i="27" s="1"/>
  <c r="N28" i="27" s="1"/>
  <c r="I21" i="26"/>
  <c r="S169" i="26"/>
  <c r="Y169" i="26" s="1"/>
  <c r="S161" i="26"/>
  <c r="Y161" i="26" s="1"/>
  <c r="S153" i="26"/>
  <c r="Y153" i="26" s="1"/>
  <c r="S133" i="26"/>
  <c r="X133" i="26" s="1"/>
  <c r="S125" i="26"/>
  <c r="X125" i="26" s="1"/>
  <c r="S117" i="26"/>
  <c r="X117" i="26" s="1"/>
  <c r="S113" i="26"/>
  <c r="X113" i="26" s="1"/>
  <c r="S109" i="26"/>
  <c r="X109" i="26" s="1"/>
  <c r="S98" i="26"/>
  <c r="X98" i="26" s="1"/>
  <c r="S90" i="26"/>
  <c r="X90" i="26" s="1"/>
  <c r="S82" i="26"/>
  <c r="X82" i="26" s="1"/>
  <c r="S74" i="26"/>
  <c r="X74" i="26" s="1"/>
  <c r="S143" i="26"/>
  <c r="Y143" i="26" s="1"/>
  <c r="S132" i="26"/>
  <c r="X132" i="26" s="1"/>
  <c r="S89" i="26"/>
  <c r="X89" i="26" s="1"/>
  <c r="S170" i="26"/>
  <c r="Y170" i="26" s="1"/>
  <c r="S162" i="26"/>
  <c r="Y162" i="26" s="1"/>
  <c r="S154" i="26"/>
  <c r="Y154" i="26" s="1"/>
  <c r="S149" i="26"/>
  <c r="Y149" i="26" s="1"/>
  <c r="S145" i="26"/>
  <c r="Y145" i="26" s="1"/>
  <c r="S134" i="26"/>
  <c r="X134" i="26" s="1"/>
  <c r="S126" i="26"/>
  <c r="X126" i="26" s="1"/>
  <c r="S118" i="26"/>
  <c r="X118" i="26" s="1"/>
  <c r="S99" i="26"/>
  <c r="X99" i="26" s="1"/>
  <c r="S91" i="26"/>
  <c r="X91" i="26" s="1"/>
  <c r="S83" i="26"/>
  <c r="X83" i="26" s="1"/>
  <c r="S75" i="26"/>
  <c r="X75" i="26" s="1"/>
  <c r="S171" i="26"/>
  <c r="Y171" i="26" s="1"/>
  <c r="S163" i="26"/>
  <c r="Y163" i="26" s="1"/>
  <c r="S155" i="26"/>
  <c r="Y155" i="26" s="1"/>
  <c r="S135" i="26"/>
  <c r="X135" i="26" s="1"/>
  <c r="S127" i="26"/>
  <c r="X127" i="26" s="1"/>
  <c r="S119" i="26"/>
  <c r="X119" i="26" s="1"/>
  <c r="S114" i="26"/>
  <c r="X114" i="26" s="1"/>
  <c r="S110" i="26"/>
  <c r="X110" i="26" s="1"/>
  <c r="S100" i="26"/>
  <c r="X100" i="26" s="1"/>
  <c r="S92" i="26"/>
  <c r="X92" i="26" s="1"/>
  <c r="S84" i="26"/>
  <c r="X84" i="26" s="1"/>
  <c r="S76" i="26"/>
  <c r="X76" i="26" s="1"/>
  <c r="S73" i="26"/>
  <c r="X73" i="26" s="1"/>
  <c r="S172" i="26"/>
  <c r="Y172" i="26" s="1"/>
  <c r="S164" i="26"/>
  <c r="Y164" i="26" s="1"/>
  <c r="S156" i="26"/>
  <c r="Y156" i="26" s="1"/>
  <c r="S150" i="26"/>
  <c r="Y150" i="26" s="1"/>
  <c r="S146" i="26"/>
  <c r="Y146" i="26" s="1"/>
  <c r="S136" i="26"/>
  <c r="X136" i="26" s="1"/>
  <c r="S128" i="26"/>
  <c r="X128" i="26" s="1"/>
  <c r="S120" i="26"/>
  <c r="X120" i="26" s="1"/>
  <c r="S101" i="26"/>
  <c r="X101" i="26" s="1"/>
  <c r="S93" i="26"/>
  <c r="X93" i="26" s="1"/>
  <c r="S85" i="26"/>
  <c r="X85" i="26" s="1"/>
  <c r="S77" i="26"/>
  <c r="X77" i="26" s="1"/>
  <c r="S168" i="26"/>
  <c r="Y168" i="26" s="1"/>
  <c r="S148" i="26"/>
  <c r="Y148" i="26" s="1"/>
  <c r="S124" i="26"/>
  <c r="X124" i="26" s="1"/>
  <c r="S173" i="26"/>
  <c r="Y173" i="26" s="1"/>
  <c r="S165" i="26"/>
  <c r="Y165" i="26" s="1"/>
  <c r="S157" i="26"/>
  <c r="Y157" i="26" s="1"/>
  <c r="S137" i="26"/>
  <c r="X137" i="26" s="1"/>
  <c r="S129" i="26"/>
  <c r="X129" i="26" s="1"/>
  <c r="S121" i="26"/>
  <c r="X121" i="26" s="1"/>
  <c r="S115" i="26"/>
  <c r="X115" i="26" s="1"/>
  <c r="S111" i="26"/>
  <c r="X111" i="26" s="1"/>
  <c r="S102" i="26"/>
  <c r="X102" i="26" s="1"/>
  <c r="S94" i="26"/>
  <c r="X94" i="26" s="1"/>
  <c r="S86" i="26"/>
  <c r="X86" i="26" s="1"/>
  <c r="S78" i="26"/>
  <c r="X78" i="26" s="1"/>
  <c r="S144" i="26"/>
  <c r="Y144" i="26" s="1"/>
  <c r="S97" i="26"/>
  <c r="X97" i="26" s="1"/>
  <c r="S166" i="26"/>
  <c r="Y166" i="26" s="1"/>
  <c r="S158" i="26"/>
  <c r="Y158" i="26" s="1"/>
  <c r="S151" i="26"/>
  <c r="Y151" i="26" s="1"/>
  <c r="S147" i="26"/>
  <c r="Y147" i="26" s="1"/>
  <c r="S138" i="26"/>
  <c r="X138" i="26" s="1"/>
  <c r="S130" i="26"/>
  <c r="X130" i="26" s="1"/>
  <c r="S122" i="26"/>
  <c r="X122" i="26" s="1"/>
  <c r="S103" i="26"/>
  <c r="X103" i="26" s="1"/>
  <c r="S95" i="26"/>
  <c r="X95" i="26" s="1"/>
  <c r="S87" i="26"/>
  <c r="X87" i="26" s="1"/>
  <c r="S79" i="26"/>
  <c r="X79" i="26" s="1"/>
  <c r="S160" i="26"/>
  <c r="Y160" i="26" s="1"/>
  <c r="S152" i="26"/>
  <c r="Y152" i="26" s="1"/>
  <c r="S81" i="26"/>
  <c r="X81" i="26" s="1"/>
  <c r="S167" i="26"/>
  <c r="Y167" i="26" s="1"/>
  <c r="S159" i="26"/>
  <c r="Y159" i="26" s="1"/>
  <c r="S131" i="26"/>
  <c r="X131" i="26" s="1"/>
  <c r="S123" i="26"/>
  <c r="X123" i="26" s="1"/>
  <c r="S116" i="26"/>
  <c r="X116" i="26" s="1"/>
  <c r="S112" i="26"/>
  <c r="X112" i="26" s="1"/>
  <c r="S96" i="26"/>
  <c r="X96" i="26" s="1"/>
  <c r="S88" i="26"/>
  <c r="X88" i="26" s="1"/>
  <c r="S80" i="26"/>
  <c r="X80" i="26" s="1"/>
  <c r="S108" i="26"/>
  <c r="X108" i="26" s="1"/>
  <c r="S169" i="27"/>
  <c r="Y169" i="27" s="1"/>
  <c r="S161" i="27"/>
  <c r="Y161" i="27" s="1"/>
  <c r="S153" i="27"/>
  <c r="Y153" i="27" s="1"/>
  <c r="S133" i="27"/>
  <c r="X133" i="27" s="1"/>
  <c r="S125" i="27"/>
  <c r="X125" i="27" s="1"/>
  <c r="S117" i="27"/>
  <c r="X117" i="27" s="1"/>
  <c r="S113" i="27"/>
  <c r="X113" i="27" s="1"/>
  <c r="S109" i="27"/>
  <c r="X109" i="27" s="1"/>
  <c r="S98" i="27"/>
  <c r="X98" i="27" s="1"/>
  <c r="S90" i="27"/>
  <c r="X90" i="27" s="1"/>
  <c r="S82" i="27"/>
  <c r="X82" i="27" s="1"/>
  <c r="S74" i="27"/>
  <c r="X74" i="27" s="1"/>
  <c r="S122" i="27"/>
  <c r="X122" i="27" s="1"/>
  <c r="K26" i="27" s="1"/>
  <c r="S89" i="27"/>
  <c r="X89" i="27" s="1"/>
  <c r="S81" i="27"/>
  <c r="X81" i="27" s="1"/>
  <c r="S170" i="27"/>
  <c r="Y170" i="27" s="1"/>
  <c r="S162" i="27"/>
  <c r="Y162" i="27" s="1"/>
  <c r="S154" i="27"/>
  <c r="Y154" i="27" s="1"/>
  <c r="S149" i="27"/>
  <c r="Y149" i="27" s="1"/>
  <c r="S145" i="27"/>
  <c r="Y145" i="27" s="1"/>
  <c r="S134" i="27"/>
  <c r="X134" i="27" s="1"/>
  <c r="S126" i="27"/>
  <c r="X126" i="27" s="1"/>
  <c r="S118" i="27"/>
  <c r="X118" i="27" s="1"/>
  <c r="S99" i="27"/>
  <c r="X99" i="27" s="1"/>
  <c r="S91" i="27"/>
  <c r="X91" i="27" s="1"/>
  <c r="S83" i="27"/>
  <c r="X83" i="27" s="1"/>
  <c r="S75" i="27"/>
  <c r="X75" i="27" s="1"/>
  <c r="S158" i="27"/>
  <c r="Y158" i="27" s="1"/>
  <c r="S130" i="27"/>
  <c r="X130" i="27" s="1"/>
  <c r="S103" i="27"/>
  <c r="X103" i="27" s="1"/>
  <c r="S87" i="27"/>
  <c r="X87" i="27" s="1"/>
  <c r="S79" i="27"/>
  <c r="X79" i="27" s="1"/>
  <c r="S171" i="27"/>
  <c r="Y171" i="27" s="1"/>
  <c r="S163" i="27"/>
  <c r="Y163" i="27" s="1"/>
  <c r="S155" i="27"/>
  <c r="Y155" i="27" s="1"/>
  <c r="S135" i="27"/>
  <c r="X135" i="27" s="1"/>
  <c r="S127" i="27"/>
  <c r="X127" i="27" s="1"/>
  <c r="S119" i="27"/>
  <c r="X119" i="27" s="1"/>
  <c r="S114" i="27"/>
  <c r="X114" i="27" s="1"/>
  <c r="S110" i="27"/>
  <c r="X110" i="27" s="1"/>
  <c r="S100" i="27"/>
  <c r="X100" i="27" s="1"/>
  <c r="S92" i="27"/>
  <c r="X92" i="27" s="1"/>
  <c r="S84" i="27"/>
  <c r="X84" i="27" s="1"/>
  <c r="S76" i="27"/>
  <c r="X76" i="27" s="1"/>
  <c r="S166" i="27"/>
  <c r="Y166" i="27" s="1"/>
  <c r="S172" i="27"/>
  <c r="Y172" i="27" s="1"/>
  <c r="S164" i="27"/>
  <c r="Y164" i="27" s="1"/>
  <c r="S156" i="27"/>
  <c r="Y156" i="27" s="1"/>
  <c r="S150" i="27"/>
  <c r="Y150" i="27" s="1"/>
  <c r="S146" i="27"/>
  <c r="Y146" i="27" s="1"/>
  <c r="S136" i="27"/>
  <c r="X136" i="27" s="1"/>
  <c r="S128" i="27"/>
  <c r="X128" i="27" s="1"/>
  <c r="S120" i="27"/>
  <c r="X120" i="27" s="1"/>
  <c r="S101" i="27"/>
  <c r="X101" i="27" s="1"/>
  <c r="S93" i="27"/>
  <c r="X93" i="27" s="1"/>
  <c r="S85" i="27"/>
  <c r="X85" i="27" s="1"/>
  <c r="S77" i="27"/>
  <c r="X77" i="27" s="1"/>
  <c r="S151" i="27"/>
  <c r="Y151" i="27" s="1"/>
  <c r="S138" i="27"/>
  <c r="X138" i="27" s="1"/>
  <c r="S95" i="27"/>
  <c r="X95" i="27" s="1"/>
  <c r="S97" i="27"/>
  <c r="X97" i="27" s="1"/>
  <c r="S73" i="27"/>
  <c r="X73" i="27" s="1"/>
  <c r="S173" i="27"/>
  <c r="Y173" i="27" s="1"/>
  <c r="S165" i="27"/>
  <c r="Y165" i="27" s="1"/>
  <c r="S157" i="27"/>
  <c r="Y157" i="27" s="1"/>
  <c r="S137" i="27"/>
  <c r="X137" i="27" s="1"/>
  <c r="S129" i="27"/>
  <c r="X129" i="27" s="1"/>
  <c r="S121" i="27"/>
  <c r="X121" i="27" s="1"/>
  <c r="S115" i="27"/>
  <c r="X115" i="27" s="1"/>
  <c r="S111" i="27"/>
  <c r="X111" i="27" s="1"/>
  <c r="S102" i="27"/>
  <c r="X102" i="27" s="1"/>
  <c r="S94" i="27"/>
  <c r="X94" i="27" s="1"/>
  <c r="S86" i="27"/>
  <c r="X86" i="27" s="1"/>
  <c r="S78" i="27"/>
  <c r="X78" i="27" s="1"/>
  <c r="S147" i="27"/>
  <c r="Y147" i="27" s="1"/>
  <c r="S167" i="27"/>
  <c r="Y167" i="27" s="1"/>
  <c r="S159" i="27"/>
  <c r="Y159" i="27" s="1"/>
  <c r="S131" i="27"/>
  <c r="X131" i="27" s="1"/>
  <c r="S123" i="27"/>
  <c r="X123" i="27" s="1"/>
  <c r="S116" i="27"/>
  <c r="X116" i="27" s="1"/>
  <c r="S112" i="27"/>
  <c r="X112" i="27" s="1"/>
  <c r="S96" i="27"/>
  <c r="X96" i="27" s="1"/>
  <c r="S88" i="27"/>
  <c r="X88" i="27" s="1"/>
  <c r="S80" i="27"/>
  <c r="X80" i="27" s="1"/>
  <c r="S168" i="27"/>
  <c r="Y168" i="27" s="1"/>
  <c r="S160" i="27"/>
  <c r="Y160" i="27" s="1"/>
  <c r="S152" i="27"/>
  <c r="Y152" i="27" s="1"/>
  <c r="S148" i="27"/>
  <c r="Y148" i="27" s="1"/>
  <c r="S144" i="27"/>
  <c r="Y144" i="27" s="1"/>
  <c r="S143" i="27"/>
  <c r="Y143" i="27" s="1"/>
  <c r="S132" i="27"/>
  <c r="X132" i="27" s="1"/>
  <c r="S124" i="27"/>
  <c r="X124" i="27" s="1"/>
  <c r="S108" i="27"/>
  <c r="X108" i="27" s="1"/>
  <c r="M11" i="26"/>
  <c r="N11" i="26" s="1"/>
  <c r="M11" i="27"/>
  <c r="N11" i="27" s="1"/>
  <c r="L17" i="26"/>
  <c r="M17" i="26" s="1"/>
  <c r="N17" i="26" s="1"/>
  <c r="L17" i="27"/>
  <c r="M17" i="27" s="1"/>
  <c r="N17" i="27" s="1"/>
  <c r="L19" i="27"/>
  <c r="M19" i="27" s="1"/>
  <c r="N19" i="27" s="1"/>
  <c r="L16" i="27"/>
  <c r="M16" i="27" s="1"/>
  <c r="N16" i="27" s="1"/>
  <c r="L18" i="26"/>
  <c r="M18" i="26" s="1"/>
  <c r="N18" i="26" s="1"/>
  <c r="N21" i="25"/>
  <c r="K30" i="26" l="1"/>
  <c r="K31" i="26"/>
  <c r="L31" i="26" s="1"/>
  <c r="M31" i="26" s="1"/>
  <c r="N31" i="26" s="1"/>
  <c r="K25" i="26"/>
  <c r="L25" i="26" s="1"/>
  <c r="M25" i="26" s="1"/>
  <c r="N25" i="26" s="1"/>
  <c r="K28" i="26"/>
  <c r="L28" i="26" s="1"/>
  <c r="M28" i="26" s="1"/>
  <c r="N28" i="26" s="1"/>
  <c r="K29" i="26"/>
  <c r="L29" i="26" s="1"/>
  <c r="M29" i="26" s="1"/>
  <c r="N29" i="26" s="1"/>
  <c r="K26" i="26"/>
  <c r="L26" i="26" s="1"/>
  <c r="M26" i="26" s="1"/>
  <c r="L30" i="26"/>
  <c r="M30" i="26" s="1"/>
  <c r="N30" i="26" s="1"/>
  <c r="L26" i="27"/>
  <c r="L35" i="27" s="1"/>
  <c r="L21" i="25"/>
  <c r="L36" i="25" s="1"/>
  <c r="M21" i="25"/>
  <c r="M21" i="26"/>
  <c r="L21" i="26"/>
  <c r="M35" i="26" l="1"/>
  <c r="L35" i="26"/>
  <c r="L36" i="26" s="1"/>
  <c r="M26" i="27"/>
  <c r="M35" i="27" s="1"/>
  <c r="N36" i="25"/>
  <c r="L37" i="25"/>
  <c r="N26" i="26"/>
  <c r="N35" i="26" s="1"/>
  <c r="N21" i="26"/>
  <c r="N36" i="26" l="1"/>
  <c r="L37" i="26"/>
  <c r="L38" i="26" s="1"/>
  <c r="N26" i="27"/>
  <c r="N35" i="27" s="1"/>
  <c r="L38" i="25"/>
  <c r="N37" i="25"/>
  <c r="L17" i="20"/>
  <c r="M17" i="20" s="1"/>
  <c r="N17" i="20" s="1"/>
  <c r="N37" i="26" l="1"/>
  <c r="L41" i="26"/>
  <c r="L39" i="26"/>
  <c r="N38" i="26"/>
  <c r="L41" i="25"/>
  <c r="L39" i="25"/>
  <c r="N38" i="25"/>
  <c r="I16" i="20"/>
  <c r="I21" i="20" s="1"/>
  <c r="K30" i="20" s="1"/>
  <c r="L12" i="20"/>
  <c r="M12" i="20" s="1"/>
  <c r="N12" i="20" s="1"/>
  <c r="L11" i="20"/>
  <c r="L14" i="20"/>
  <c r="M14" i="20" s="1"/>
  <c r="N14" i="20" s="1"/>
  <c r="L16" i="20" l="1"/>
  <c r="M16" i="20" s="1"/>
  <c r="N16" i="20" s="1"/>
  <c r="S173" i="20"/>
  <c r="Y173" i="20" s="1"/>
  <c r="S157" i="20"/>
  <c r="Y157" i="20" s="1"/>
  <c r="S150" i="20"/>
  <c r="Y150" i="20" s="1"/>
  <c r="S131" i="20"/>
  <c r="X131" i="20" s="1"/>
  <c r="S123" i="20"/>
  <c r="X123" i="20" s="1"/>
  <c r="S115" i="20"/>
  <c r="X115" i="20" s="1"/>
  <c r="S112" i="20"/>
  <c r="X112" i="20" s="1"/>
  <c r="S166" i="20"/>
  <c r="Y166" i="20" s="1"/>
  <c r="S147" i="20"/>
  <c r="Y147" i="20" s="1"/>
  <c r="S143" i="20"/>
  <c r="Y143" i="20" s="1"/>
  <c r="S136" i="20"/>
  <c r="X136" i="20" s="1"/>
  <c r="S128" i="20"/>
  <c r="X128" i="20" s="1"/>
  <c r="S120" i="20"/>
  <c r="X120" i="20" s="1"/>
  <c r="K26" i="20" s="1"/>
  <c r="S169" i="20"/>
  <c r="Y169" i="20" s="1"/>
  <c r="S170" i="20"/>
  <c r="Y170" i="20" s="1"/>
  <c r="S163" i="20"/>
  <c r="Y163" i="20" s="1"/>
  <c r="S159" i="20"/>
  <c r="Y159" i="20" s="1"/>
  <c r="S154" i="20"/>
  <c r="Y154" i="20" s="1"/>
  <c r="S152" i="20"/>
  <c r="Y152" i="20" s="1"/>
  <c r="S145" i="20"/>
  <c r="Y145" i="20" s="1"/>
  <c r="S133" i="20"/>
  <c r="X133" i="20" s="1"/>
  <c r="S125" i="20"/>
  <c r="X125" i="20" s="1"/>
  <c r="S117" i="20"/>
  <c r="X117" i="20" s="1"/>
  <c r="S172" i="20"/>
  <c r="Y172" i="20" s="1"/>
  <c r="S168" i="20"/>
  <c r="Y168" i="20" s="1"/>
  <c r="S161" i="20"/>
  <c r="Y161" i="20" s="1"/>
  <c r="S156" i="20"/>
  <c r="Y156" i="20" s="1"/>
  <c r="S149" i="20"/>
  <c r="Y149" i="20" s="1"/>
  <c r="S138" i="20"/>
  <c r="X138" i="20" s="1"/>
  <c r="S130" i="20"/>
  <c r="X130" i="20" s="1"/>
  <c r="S122" i="20"/>
  <c r="X122" i="20" s="1"/>
  <c r="S114" i="20"/>
  <c r="X114" i="20" s="1"/>
  <c r="S110" i="20"/>
  <c r="X110" i="20" s="1"/>
  <c r="S108" i="20"/>
  <c r="X108" i="20" s="1"/>
  <c r="S134" i="20"/>
  <c r="X134" i="20" s="1"/>
  <c r="S109" i="20"/>
  <c r="X109" i="20" s="1"/>
  <c r="S165" i="20"/>
  <c r="Y165" i="20" s="1"/>
  <c r="S135" i="20"/>
  <c r="X135" i="20" s="1"/>
  <c r="S127" i="20"/>
  <c r="X127" i="20" s="1"/>
  <c r="S119" i="20"/>
  <c r="X119" i="20" s="1"/>
  <c r="S158" i="20"/>
  <c r="Y158" i="20" s="1"/>
  <c r="S151" i="20"/>
  <c r="Y151" i="20" s="1"/>
  <c r="S146" i="20"/>
  <c r="Y146" i="20" s="1"/>
  <c r="S144" i="20"/>
  <c r="Y144" i="20" s="1"/>
  <c r="S132" i="20"/>
  <c r="X132" i="20" s="1"/>
  <c r="S124" i="20"/>
  <c r="X124" i="20" s="1"/>
  <c r="S116" i="20"/>
  <c r="X116" i="20" s="1"/>
  <c r="S126" i="20"/>
  <c r="X126" i="20" s="1"/>
  <c r="S171" i="20"/>
  <c r="Y171" i="20" s="1"/>
  <c r="S167" i="20"/>
  <c r="Y167" i="20" s="1"/>
  <c r="S162" i="20"/>
  <c r="Y162" i="20" s="1"/>
  <c r="S155" i="20"/>
  <c r="Y155" i="20" s="1"/>
  <c r="S148" i="20"/>
  <c r="Y148" i="20" s="1"/>
  <c r="S137" i="20"/>
  <c r="X137" i="20" s="1"/>
  <c r="S129" i="20"/>
  <c r="X129" i="20" s="1"/>
  <c r="S121" i="20"/>
  <c r="X121" i="20" s="1"/>
  <c r="S113" i="20"/>
  <c r="X113" i="20" s="1"/>
  <c r="S111" i="20"/>
  <c r="X111" i="20" s="1"/>
  <c r="S164" i="20"/>
  <c r="Y164" i="20" s="1"/>
  <c r="S160" i="20"/>
  <c r="Y160" i="20" s="1"/>
  <c r="S153" i="20"/>
  <c r="Y153" i="20" s="1"/>
  <c r="S118" i="20"/>
  <c r="X118" i="20" s="1"/>
  <c r="L44" i="26"/>
  <c r="N39" i="26"/>
  <c r="N44" i="26" s="1"/>
  <c r="L45" i="26"/>
  <c r="N41" i="26"/>
  <c r="N45" i="26" s="1"/>
  <c r="L44" i="25"/>
  <c r="N39" i="25"/>
  <c r="N44" i="25" s="1"/>
  <c r="L45" i="25"/>
  <c r="N41" i="25"/>
  <c r="N45" i="25" s="1"/>
  <c r="S82" i="20"/>
  <c r="X82" i="20" s="1"/>
  <c r="S80" i="20"/>
  <c r="X80" i="20" s="1"/>
  <c r="S78" i="20"/>
  <c r="X78" i="20" s="1"/>
  <c r="S83" i="20"/>
  <c r="X83" i="20" s="1"/>
  <c r="S77" i="20"/>
  <c r="X77" i="20" s="1"/>
  <c r="S103" i="20"/>
  <c r="X103" i="20" s="1"/>
  <c r="S101" i="20"/>
  <c r="X101" i="20" s="1"/>
  <c r="S99" i="20"/>
  <c r="X99" i="20" s="1"/>
  <c r="S97" i="20"/>
  <c r="X97" i="20" s="1"/>
  <c r="S95" i="20"/>
  <c r="X95" i="20" s="1"/>
  <c r="S93" i="20"/>
  <c r="X93" i="20" s="1"/>
  <c r="S91" i="20"/>
  <c r="X91" i="20" s="1"/>
  <c r="S89" i="20"/>
  <c r="X89" i="20" s="1"/>
  <c r="S84" i="20"/>
  <c r="X84" i="20" s="1"/>
  <c r="S87" i="20"/>
  <c r="X87" i="20" s="1"/>
  <c r="S85" i="20"/>
  <c r="X85" i="20" s="1"/>
  <c r="S81" i="20"/>
  <c r="X81" i="20" s="1"/>
  <c r="S79" i="20"/>
  <c r="X79" i="20" s="1"/>
  <c r="S86" i="20"/>
  <c r="X86" i="20" s="1"/>
  <c r="S102" i="20"/>
  <c r="X102" i="20" s="1"/>
  <c r="S100" i="20"/>
  <c r="X100" i="20" s="1"/>
  <c r="S98" i="20"/>
  <c r="X98" i="20" s="1"/>
  <c r="S96" i="20"/>
  <c r="X96" i="20" s="1"/>
  <c r="S94" i="20"/>
  <c r="X94" i="20" s="1"/>
  <c r="S92" i="20"/>
  <c r="X92" i="20" s="1"/>
  <c r="S90" i="20"/>
  <c r="X90" i="20" s="1"/>
  <c r="S88" i="20"/>
  <c r="X88" i="20" s="1"/>
  <c r="S76" i="20"/>
  <c r="X76" i="20" s="1"/>
  <c r="S75" i="20"/>
  <c r="X75" i="20" s="1"/>
  <c r="S74" i="20"/>
  <c r="X74" i="20" s="1"/>
  <c r="S73" i="20"/>
  <c r="X73" i="20" s="1"/>
  <c r="M11" i="20"/>
  <c r="N11" i="20" s="1"/>
  <c r="K31" i="20" l="1"/>
  <c r="L31" i="20" s="1"/>
  <c r="M31" i="20" s="1"/>
  <c r="N31" i="20" s="1"/>
  <c r="K29" i="20"/>
  <c r="L29" i="20" s="1"/>
  <c r="M29" i="20" s="1"/>
  <c r="N29" i="20" s="1"/>
  <c r="K28" i="20"/>
  <c r="L28" i="20" s="1"/>
  <c r="M28" i="20" s="1"/>
  <c r="N28" i="20" s="1"/>
  <c r="K25" i="20"/>
  <c r="L25" i="20" s="1"/>
  <c r="M25" i="20" s="1"/>
  <c r="N25" i="20" s="1"/>
  <c r="L30" i="20"/>
  <c r="M30" i="20" s="1"/>
  <c r="N30" i="20" s="1"/>
  <c r="L26" i="20"/>
  <c r="M26" i="20" s="1"/>
  <c r="L35" i="20" l="1"/>
  <c r="M35" i="20"/>
  <c r="N26" i="20"/>
  <c r="N35" i="20" s="1"/>
  <c r="K14" i="27" l="1"/>
  <c r="L14" i="27" s="1"/>
  <c r="M14" i="27" s="1"/>
  <c r="L21" i="27" l="1"/>
  <c r="L36" i="27" l="1"/>
  <c r="N36" i="27" s="1"/>
  <c r="M21" i="27"/>
  <c r="N14" i="27"/>
  <c r="N21" i="27" s="1"/>
  <c r="L37" i="27" l="1"/>
  <c r="L38" i="27" s="1"/>
  <c r="N37" i="27" l="1"/>
  <c r="L39" i="27"/>
  <c r="N38" i="27"/>
  <c r="L41" i="27"/>
  <c r="N41" i="27" l="1"/>
  <c r="N45" i="27" s="1"/>
  <c r="L45" i="27"/>
  <c r="L44" i="27"/>
  <c r="N39" i="27"/>
  <c r="N44" i="27" s="1"/>
  <c r="U25" i="20"/>
  <c r="V25" i="20" s="1"/>
  <c r="U27" i="20"/>
  <c r="V27" i="20" s="1"/>
  <c r="U39" i="20"/>
  <c r="V39" i="20" s="1"/>
  <c r="U40" i="20"/>
  <c r="V40" i="20" s="1"/>
  <c r="U35" i="20"/>
  <c r="V35" i="20"/>
  <c r="U31" i="20"/>
  <c r="V31" i="20" s="1"/>
  <c r="U32" i="20"/>
  <c r="V32" i="20" s="1"/>
  <c r="U41" i="20"/>
  <c r="V41" i="20" s="1"/>
  <c r="U43" i="20"/>
  <c r="V43" i="20" s="1"/>
  <c r="U38" i="20"/>
  <c r="V38" i="20" s="1"/>
  <c r="U37" i="20"/>
  <c r="V37" i="20" s="1"/>
  <c r="U30" i="20"/>
  <c r="V30" i="20" s="1"/>
  <c r="U36" i="20"/>
  <c r="V36" i="20" s="1"/>
  <c r="U44" i="20"/>
  <c r="V44" i="20" s="1"/>
  <c r="U26" i="20"/>
  <c r="V26" i="20" s="1"/>
  <c r="U28" i="20"/>
  <c r="V28" i="20" s="1"/>
  <c r="U34" i="20"/>
  <c r="V34" i="20" s="1"/>
  <c r="U42" i="20"/>
  <c r="V42" i="20" s="1"/>
  <c r="U33" i="20"/>
  <c r="V33" i="20" s="1"/>
  <c r="U45" i="20"/>
  <c r="V45" i="20" s="1"/>
  <c r="U29" i="20"/>
  <c r="V29" i="20" s="1"/>
  <c r="U46" i="20"/>
  <c r="V46" i="20" s="1"/>
  <c r="U51" i="20"/>
  <c r="V51" i="20" s="1"/>
  <c r="U64" i="20"/>
  <c r="V64" i="20" s="1"/>
  <c r="U59" i="20"/>
  <c r="V59" i="20" s="1"/>
  <c r="U47" i="20"/>
  <c r="V47" i="20" s="1"/>
  <c r="U58" i="20"/>
  <c r="V58" i="20" s="1"/>
  <c r="U53" i="20"/>
  <c r="V53" i="20" s="1"/>
  <c r="U48" i="20"/>
  <c r="V48" i="20" s="1"/>
  <c r="U60" i="20"/>
  <c r="V60" i="20"/>
  <c r="U55" i="20"/>
  <c r="V55" i="20" s="1"/>
  <c r="U50" i="20"/>
  <c r="V50" i="20" s="1"/>
  <c r="U66" i="20"/>
  <c r="V66" i="20" s="1"/>
  <c r="U56" i="20"/>
  <c r="V56" i="20" s="1"/>
  <c r="U52" i="20"/>
  <c r="V52" i="20" s="1"/>
  <c r="U62" i="20"/>
  <c r="V62" i="20"/>
  <c r="U65" i="20"/>
  <c r="V65" i="20" s="1"/>
  <c r="U57" i="20"/>
  <c r="V57" i="20" s="1"/>
  <c r="U54" i="20"/>
  <c r="V54" i="20" s="1"/>
  <c r="U63" i="20"/>
  <c r="V63" i="20" s="1"/>
  <c r="U61" i="20"/>
  <c r="V61" i="20" s="1"/>
  <c r="K15" i="20"/>
  <c r="L15" i="20" s="1"/>
  <c r="U49" i="20"/>
  <c r="V49" i="20"/>
  <c r="L21" i="20" l="1"/>
  <c r="L36" i="20" s="1"/>
  <c r="M15" i="20"/>
  <c r="N15" i="20" l="1"/>
  <c r="N21" i="20" s="1"/>
  <c r="M21" i="20"/>
  <c r="N36" i="20"/>
  <c r="L37" i="20"/>
  <c r="L38" i="20" l="1"/>
  <c r="N37" i="20"/>
  <c r="L41" i="20" l="1"/>
  <c r="L39" i="20"/>
  <c r="N38" i="20"/>
  <c r="N39" i="20" l="1"/>
  <c r="N44" i="20" s="1"/>
  <c r="L44" i="20"/>
  <c r="L45" i="20"/>
  <c r="N41" i="20"/>
  <c r="N45" i="20" s="1"/>
</calcChain>
</file>

<file path=xl/sharedStrings.xml><?xml version="1.0" encoding="utf-8"?>
<sst xmlns="http://schemas.openxmlformats.org/spreadsheetml/2006/main" count="1846" uniqueCount="250">
  <si>
    <t>COST OF GOODS SOLD ( COGS )</t>
  </si>
  <si>
    <t>CUSTOMER</t>
  </si>
  <si>
    <t>:</t>
  </si>
  <si>
    <t>ITEM</t>
  </si>
  <si>
    <t>TYPE</t>
  </si>
  <si>
    <t>DATE</t>
  </si>
  <si>
    <t>QTY</t>
  </si>
  <si>
    <t xml:space="preserve">Price All Material </t>
  </si>
  <si>
    <t>MATERIAL</t>
  </si>
  <si>
    <t>SPESIFIKASI</t>
  </si>
  <si>
    <t>UNIT</t>
  </si>
  <si>
    <t>PRICE</t>
  </si>
  <si>
    <t>TOTAL</t>
  </si>
  <si>
    <t>Item</t>
  </si>
  <si>
    <t>Spesifikasi</t>
  </si>
  <si>
    <t>Price</t>
  </si>
  <si>
    <t>Unit</t>
  </si>
  <si>
    <t>X</t>
  </si>
  <si>
    <t>KG</t>
  </si>
  <si>
    <t>JASA</t>
  </si>
  <si>
    <t>PCS</t>
  </si>
  <si>
    <t xml:space="preserve">SIZE </t>
  </si>
  <si>
    <t>Corong</t>
  </si>
  <si>
    <t xml:space="preserve">Fee penjualan </t>
  </si>
  <si>
    <t>PPN</t>
  </si>
  <si>
    <t>AMOUNT</t>
  </si>
  <si>
    <t>Gsm</t>
  </si>
  <si>
    <t>Gr</t>
  </si>
  <si>
    <t>Cetak</t>
  </si>
  <si>
    <t>Warna</t>
  </si>
  <si>
    <t>Jumlah Warna</t>
  </si>
  <si>
    <t>No</t>
  </si>
  <si>
    <t>Qty</t>
  </si>
  <si>
    <t>Harga</t>
  </si>
  <si>
    <t>3000lbr pertama</t>
  </si>
  <si>
    <t>Lembar Berikutnya</t>
  </si>
  <si>
    <t>Tinta</t>
  </si>
  <si>
    <t>HARGA JUAL AKHIR</t>
  </si>
  <si>
    <t>PP</t>
  </si>
  <si>
    <t>Warga Djaja Putih</t>
  </si>
  <si>
    <t>Lem</t>
  </si>
  <si>
    <t>Penggunaan</t>
  </si>
  <si>
    <t>Cover</t>
  </si>
  <si>
    <t>Inner</t>
  </si>
  <si>
    <t>Plastik</t>
  </si>
  <si>
    <t>Pita Bawah</t>
  </si>
  <si>
    <t>Pita Atas</t>
  </si>
  <si>
    <t>KODE</t>
  </si>
  <si>
    <t>WDP</t>
  </si>
  <si>
    <t>Lem Putih</t>
  </si>
  <si>
    <t>Plat Atas</t>
  </si>
  <si>
    <t>Plat Bawah</t>
  </si>
  <si>
    <t>PVSE</t>
  </si>
  <si>
    <t>Plastik PP</t>
  </si>
  <si>
    <t>Surat Penawaran Harga</t>
  </si>
  <si>
    <t>Kepada</t>
  </si>
  <si>
    <t>Dengan hormat,</t>
  </si>
  <si>
    <t>Dengan ini kami sampaikan penawaran harga produk paper sack dengan rincian sebagai berikut:</t>
  </si>
  <si>
    <t>Spec +/- 1%</t>
  </si>
  <si>
    <t>Keterangan:</t>
  </si>
  <si>
    <t>1. Harga franco Jabodetabek</t>
  </si>
  <si>
    <t>2. Harga belum termasuk PPN 11%</t>
  </si>
  <si>
    <t>3. Validitas penawaran harga 28 hari sejak penawaran harga dibuat dan dapat berubah sewaktu waktu jika terjadi</t>
  </si>
  <si>
    <t>kenaikan harga bahan baku dan perubahan kurs</t>
  </si>
  <si>
    <t>Demikian penawaran ini kami ajukan, dengan harapan dapat bekerja sama dengan perusahaan</t>
  </si>
  <si>
    <t>yang Bapak / Ibu pimpin</t>
  </si>
  <si>
    <t xml:space="preserve">Atas Perhatian dan kerja samanya kami ucapkan terima kasih. </t>
  </si>
  <si>
    <t>PT. Kemasindo Niaga Sentosa</t>
  </si>
  <si>
    <t>Aonal Bayu Setiawan</t>
  </si>
  <si>
    <t>Ply 1</t>
  </si>
  <si>
    <t>gsm</t>
  </si>
  <si>
    <t>Ply 2</t>
  </si>
  <si>
    <t>micron</t>
  </si>
  <si>
    <t>Ply 3</t>
  </si>
  <si>
    <t>Ply 4</t>
  </si>
  <si>
    <t>Ukuran</t>
  </si>
  <si>
    <t>x</t>
  </si>
  <si>
    <t>mm</t>
  </si>
  <si>
    <t>Printing</t>
  </si>
  <si>
    <t>Type</t>
  </si>
  <si>
    <t>MoQ</t>
  </si>
  <si>
    <t>pcs</t>
  </si>
  <si>
    <t>/ pcs</t>
  </si>
  <si>
    <t>Bogor,</t>
  </si>
  <si>
    <t>Plat CTP</t>
  </si>
  <si>
    <t>InSheet</t>
  </si>
  <si>
    <t>Canfor HP Ex White</t>
  </si>
  <si>
    <t>PEOM</t>
  </si>
  <si>
    <t>HARGA JUAL RAW</t>
  </si>
  <si>
    <t>GRAND TOTAL HPP RAW</t>
  </si>
  <si>
    <t>HARGA JUAL KNS</t>
  </si>
  <si>
    <t>LABA KOTOR RAW &amp; KNS</t>
  </si>
  <si>
    <t>PIC</t>
  </si>
  <si>
    <t>PT. Bio Cycle Indo</t>
  </si>
  <si>
    <t>Ibu Trisni</t>
  </si>
  <si>
    <t>Insect Meal 25 Kg</t>
  </si>
  <si>
    <t>CF7</t>
  </si>
  <si>
    <t>CF8</t>
  </si>
  <si>
    <t>Australian Paper Reguler</t>
  </si>
  <si>
    <t>AN8</t>
  </si>
  <si>
    <t>AH7</t>
  </si>
  <si>
    <t>AH8</t>
  </si>
  <si>
    <t>Australian HP E Brown</t>
  </si>
  <si>
    <t>Plastik HD Ori</t>
  </si>
  <si>
    <t>Plastik PE Ori</t>
  </si>
  <si>
    <t>HD15</t>
  </si>
  <si>
    <t>HD20</t>
  </si>
  <si>
    <t>HD25</t>
  </si>
  <si>
    <t>HD30</t>
  </si>
  <si>
    <t>HD35</t>
  </si>
  <si>
    <t>HD40</t>
  </si>
  <si>
    <t>HD45</t>
  </si>
  <si>
    <t>HD50</t>
  </si>
  <si>
    <t>HD55</t>
  </si>
  <si>
    <t>HD60</t>
  </si>
  <si>
    <t>HD65</t>
  </si>
  <si>
    <t>HD70</t>
  </si>
  <si>
    <t>HD75</t>
  </si>
  <si>
    <t>HD80</t>
  </si>
  <si>
    <t>HD85</t>
  </si>
  <si>
    <t>HD90</t>
  </si>
  <si>
    <t>HD95</t>
  </si>
  <si>
    <t>HD100</t>
  </si>
  <si>
    <t>HD105</t>
  </si>
  <si>
    <t>HD110</t>
  </si>
  <si>
    <t>HD115</t>
  </si>
  <si>
    <t>HD120</t>
  </si>
  <si>
    <t>PE15</t>
  </si>
  <si>
    <t>PE20</t>
  </si>
  <si>
    <t>PE25</t>
  </si>
  <si>
    <t>PE30</t>
  </si>
  <si>
    <t>PE35</t>
  </si>
  <si>
    <t>PE40</t>
  </si>
  <si>
    <t>PE45</t>
  </si>
  <si>
    <t>PE50</t>
  </si>
  <si>
    <t>PE55</t>
  </si>
  <si>
    <t>PE60</t>
  </si>
  <si>
    <t>PE65</t>
  </si>
  <si>
    <t>PE70</t>
  </si>
  <si>
    <t>PE75</t>
  </si>
  <si>
    <t>PE80</t>
  </si>
  <si>
    <t>PE85</t>
  </si>
  <si>
    <t>PE90</t>
  </si>
  <si>
    <t>PE95</t>
  </si>
  <si>
    <t>PE100</t>
  </si>
  <si>
    <t>PE105</t>
  </si>
  <si>
    <t>PE110</t>
  </si>
  <si>
    <t>PE115</t>
  </si>
  <si>
    <t>PE120</t>
  </si>
  <si>
    <t>Mixing</t>
  </si>
  <si>
    <t>Maintenance Mesin</t>
  </si>
  <si>
    <t>Beban Bunga Pinjaman</t>
  </si>
  <si>
    <t>Waste</t>
  </si>
  <si>
    <t>Data Beban Bunga PT Restu Agung Wijaya</t>
  </si>
  <si>
    <t>Keterangan</t>
  </si>
  <si>
    <t>Bunga</t>
  </si>
  <si>
    <t>Pokok</t>
  </si>
  <si>
    <t>BFI INOVA</t>
  </si>
  <si>
    <t>ACC RUSH</t>
  </si>
  <si>
    <t>BFI MESIN ROLL TO SHEET</t>
  </si>
  <si>
    <t>BFI HINO</t>
  </si>
  <si>
    <t>BFI OFFSET</t>
  </si>
  <si>
    <t>BFI OFFSET SPP</t>
  </si>
  <si>
    <t>DATA BEBANG BUNGA PAK TUTUR</t>
  </si>
  <si>
    <t>PAK UJANG</t>
  </si>
  <si>
    <t>-</t>
  </si>
  <si>
    <t>PAK LUJENG</t>
  </si>
  <si>
    <t>BRI KMK</t>
  </si>
  <si>
    <t>Ply 5</t>
  </si>
  <si>
    <t>Tenaga Kerja Borongan</t>
  </si>
  <si>
    <t>Tenaga Kerja Tidak Langsung</t>
  </si>
  <si>
    <t>Printing + Insheet</t>
  </si>
  <si>
    <t>Packing</t>
  </si>
  <si>
    <t>Listrik &amp; Internet</t>
  </si>
  <si>
    <t>Expedisi</t>
  </si>
  <si>
    <t>Overhead</t>
  </si>
  <si>
    <t>Tambalan</t>
  </si>
  <si>
    <t>Plastik HDPE</t>
  </si>
  <si>
    <t>Plastik LDPE</t>
  </si>
  <si>
    <t>Brown Sack Kraft</t>
  </si>
  <si>
    <t>Brown Kraft</t>
  </si>
  <si>
    <t>Brown Sack Kraft HP</t>
  </si>
  <si>
    <t>White Sack Kraft HP</t>
  </si>
  <si>
    <t>White Sack Kraft</t>
  </si>
  <si>
    <t>Sack Kraft Limbah</t>
  </si>
  <si>
    <t>Sack Kraft Limbah Kecil</t>
  </si>
  <si>
    <t>LMB</t>
  </si>
  <si>
    <t>LMK</t>
  </si>
  <si>
    <t>Plat Jahit</t>
  </si>
  <si>
    <t>Biaya Cetak</t>
  </si>
  <si>
    <t>PT. Cavron Indonesia</t>
  </si>
  <si>
    <t>Mr. Soreang</t>
  </si>
  <si>
    <t>Nature 5Kg</t>
  </si>
  <si>
    <t>BBOM</t>
  </si>
  <si>
    <t>4. Qty pengiriman dan invoice +/- 10% dari qty PO</t>
  </si>
  <si>
    <t>5. Pembayaran: DP 50%, Pelunasan 50% CBD</t>
  </si>
  <si>
    <t>6. Lead time pengiriman 21 - 28 hari terhitung dari PO, DP dan acc design</t>
  </si>
  <si>
    <t>Margin Kotor RAW</t>
  </si>
  <si>
    <t>Margin Kotor KNS</t>
  </si>
  <si>
    <t>Presentase Margin RAW</t>
  </si>
  <si>
    <t>Presentase Margin KNS</t>
  </si>
  <si>
    <t>Natura Kraft Krime</t>
  </si>
  <si>
    <t>NK7</t>
  </si>
  <si>
    <t>HPP Printing Offset SM 102x72</t>
  </si>
  <si>
    <t>HPP Printing Offset SM 110x80</t>
  </si>
  <si>
    <t>HPP Printing Offset SM 130x92</t>
  </si>
  <si>
    <t>Film</t>
  </si>
  <si>
    <t>AN7</t>
  </si>
  <si>
    <t>Penyusutan Seluruh Aset</t>
  </si>
  <si>
    <t>051/SACK/KNS/I/2024</t>
  </si>
  <si>
    <t>AS7</t>
  </si>
  <si>
    <t>AS8</t>
  </si>
  <si>
    <t>Australian Paper SE</t>
  </si>
  <si>
    <t>Gaji Kantor</t>
  </si>
  <si>
    <t>Bunga Pinjaman</t>
  </si>
  <si>
    <t>Bunga Angsuran</t>
  </si>
  <si>
    <t>Pengiriman</t>
  </si>
  <si>
    <t>Qty Produksi</t>
  </si>
  <si>
    <t>AVERAGE</t>
  </si>
  <si>
    <t>Biaya</t>
  </si>
  <si>
    <t>Nama</t>
  </si>
  <si>
    <t>Pinjaman Direksi</t>
  </si>
  <si>
    <t>Pinjaman BRI KMK</t>
  </si>
  <si>
    <t>Pinjaman Perorangan</t>
  </si>
  <si>
    <t>Pinjaman Leasing</t>
  </si>
  <si>
    <t>Pinjaman Pak Ujang</t>
  </si>
  <si>
    <t>Pinjaman  Pak Lujeng</t>
  </si>
  <si>
    <t>Total Angsuran</t>
  </si>
  <si>
    <t>BFI Inova</t>
  </si>
  <si>
    <t>BFI Hino</t>
  </si>
  <si>
    <t>ACC Mobil Rush</t>
  </si>
  <si>
    <t>BFI Offset 2 Warna</t>
  </si>
  <si>
    <t>BFI Offset 4 Warna</t>
  </si>
  <si>
    <t>BFI Roll To Sheet</t>
  </si>
  <si>
    <t>Sales,</t>
  </si>
  <si>
    <t>PT. Sibelco</t>
  </si>
  <si>
    <t>Bp Junior</t>
  </si>
  <si>
    <t>PAPER BAG 50 KG Polos</t>
  </si>
  <si>
    <t>352/SACK/KNS/V/2024</t>
  </si>
  <si>
    <t>5. Pembayaran: 30 hari setelah barang diterima</t>
  </si>
  <si>
    <t>Achmad w</t>
  </si>
  <si>
    <t>PT. Natural Indococonut</t>
  </si>
  <si>
    <t>Bapak Steven</t>
  </si>
  <si>
    <t>SEOG</t>
  </si>
  <si>
    <t>PR7</t>
  </si>
  <si>
    <t>Pura MWX</t>
  </si>
  <si>
    <t>MWX Kraft</t>
  </si>
  <si>
    <t>Aspex KBSP</t>
  </si>
  <si>
    <t>KBSP Kraft</t>
  </si>
  <si>
    <t>KB6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</si>
</sst>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[$-421]dd\ mmmm\ yyyy;@"/>
    <numFmt numFmtId="168" formatCode="_-[$Rp-3809]* #,##0_-;\-[$Rp-3809]* #,##0_-;_-[$Rp-3809]* &quot;-&quot;??_-;_-@_-"/>
    <numFmt numFmtId="169" formatCode="0.0000%"/>
    <numFmt numFmtId="170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sz val="11"/>
      <color rgb="FF9C0006"/>
      <name val="Calibri"/>
      <family val="2"/>
      <scheme val="minor"/>
    </font>
    <font>
      <sz val="11"/>
      <name val="Cambria"/>
      <family val="1"/>
      <scheme val="major"/>
    </font>
    <font>
      <sz val="11"/>
      <color rgb="FF9C650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3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8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7" fillId="0" borderId="31" applyNumberFormat="0" applyFill="0" applyAlignment="0" applyProtection="0"/>
    <xf numFmtId="0" fontId="14" fillId="4" borderId="0" applyNumberFormat="0" applyBorder="0" applyAlignment="0" applyProtection="0"/>
    <xf numFmtId="0" fontId="15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11" borderId="0" applyNumberFormat="0" applyBorder="0" applyAlignment="0" applyProtection="0"/>
    <xf numFmtId="0" fontId="21" fillId="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/>
    </xf>
    <xf numFmtId="0" fontId="0" fillId="0" borderId="6" xfId="0" applyBorder="1"/>
    <xf numFmtId="166" fontId="0" fillId="0" borderId="6" xfId="2" applyNumberFormat="1" applyFont="1" applyBorder="1"/>
    <xf numFmtId="165" fontId="0" fillId="0" borderId="6" xfId="0" applyNumberFormat="1" applyBorder="1"/>
    <xf numFmtId="0" fontId="0" fillId="0" borderId="6" xfId="0" applyBorder="1" applyAlignment="1">
      <alignment horizontal="center"/>
    </xf>
    <xf numFmtId="165" fontId="2" fillId="0" borderId="0" xfId="0" applyNumberFormat="1" applyFont="1"/>
    <xf numFmtId="164" fontId="0" fillId="0" borderId="6" xfId="2" applyFont="1" applyBorder="1"/>
    <xf numFmtId="164" fontId="2" fillId="0" borderId="6" xfId="2" applyFont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2" applyFont="1" applyBorder="1"/>
    <xf numFmtId="166" fontId="4" fillId="0" borderId="0" xfId="2" applyNumberFormat="1" applyFont="1" applyBorder="1"/>
    <xf numFmtId="165" fontId="4" fillId="0" borderId="0" xfId="0" applyNumberFormat="1" applyFont="1"/>
    <xf numFmtId="0" fontId="0" fillId="0" borderId="7" xfId="0" applyBorder="1"/>
    <xf numFmtId="0" fontId="0" fillId="0" borderId="9" xfId="0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4" fontId="0" fillId="0" borderId="8" xfId="2" applyFont="1" applyBorder="1"/>
    <xf numFmtId="165" fontId="2" fillId="0" borderId="8" xfId="0" applyNumberFormat="1" applyFont="1" applyBorder="1"/>
    <xf numFmtId="165" fontId="0" fillId="0" borderId="8" xfId="0" applyNumberFormat="1" applyBorder="1"/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0" fillId="0" borderId="6" xfId="0" applyNumberFormat="1" applyBorder="1"/>
    <xf numFmtId="165" fontId="0" fillId="0" borderId="7" xfId="0" applyNumberFormat="1" applyBorder="1"/>
    <xf numFmtId="0" fontId="2" fillId="0" borderId="9" xfId="0" applyFont="1" applyBorder="1" applyAlignment="1">
      <alignment horizontal="center" vertical="center"/>
    </xf>
    <xf numFmtId="0" fontId="0" fillId="0" borderId="14" xfId="0" applyBorder="1"/>
    <xf numFmtId="165" fontId="2" fillId="0" borderId="3" xfId="0" applyNumberFormat="1" applyFont="1" applyBorder="1"/>
    <xf numFmtId="165" fontId="2" fillId="0" borderId="10" xfId="0" applyNumberFormat="1" applyFont="1" applyBorder="1"/>
    <xf numFmtId="0" fontId="7" fillId="0" borderId="0" xfId="0" applyFont="1"/>
    <xf numFmtId="0" fontId="0" fillId="0" borderId="0" xfId="0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7" xfId="0" applyFont="1" applyBorder="1" applyAlignment="1">
      <alignment vertical="top"/>
    </xf>
    <xf numFmtId="0" fontId="0" fillId="0" borderId="21" xfId="0" applyBorder="1" applyAlignment="1">
      <alignment vertical="top"/>
    </xf>
    <xf numFmtId="0" fontId="10" fillId="0" borderId="0" xfId="0" applyFont="1"/>
    <xf numFmtId="0" fontId="7" fillId="0" borderId="0" xfId="0" applyFont="1" applyAlignment="1">
      <alignment horizontal="left"/>
    </xf>
    <xf numFmtId="0" fontId="8" fillId="0" borderId="30" xfId="0" applyFont="1" applyBorder="1" applyAlignment="1">
      <alignment vertical="top"/>
    </xf>
    <xf numFmtId="0" fontId="0" fillId="0" borderId="22" xfId="0" applyBorder="1"/>
    <xf numFmtId="0" fontId="0" fillId="0" borderId="0" xfId="0" applyAlignment="1">
      <alignment horizontal="center" vertical="top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42" fontId="0" fillId="0" borderId="25" xfId="4" applyFont="1" applyBorder="1" applyAlignment="1">
      <alignment vertical="center"/>
    </xf>
    <xf numFmtId="42" fontId="0" fillId="0" borderId="26" xfId="4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2" borderId="6" xfId="0" applyFill="1" applyBorder="1" applyAlignment="1">
      <alignment horizontal="left"/>
    </xf>
    <xf numFmtId="164" fontId="0" fillId="2" borderId="6" xfId="2" applyFont="1" applyFill="1" applyBorder="1"/>
    <xf numFmtId="41" fontId="0" fillId="0" borderId="6" xfId="4" applyNumberFormat="1" applyFont="1" applyFill="1" applyBorder="1"/>
    <xf numFmtId="1" fontId="0" fillId="0" borderId="0" xfId="0" applyNumberFormat="1" applyAlignment="1">
      <alignment horizontal="center" vertical="top"/>
    </xf>
    <xf numFmtId="0" fontId="4" fillId="2" borderId="6" xfId="0" applyFont="1" applyFill="1" applyBorder="1" applyAlignment="1">
      <alignment horizontal="center"/>
    </xf>
    <xf numFmtId="43" fontId="0" fillId="0" borderId="0" xfId="0" applyNumberFormat="1"/>
    <xf numFmtId="164" fontId="0" fillId="0" borderId="6" xfId="2" applyFont="1" applyFill="1" applyBorder="1"/>
    <xf numFmtId="0" fontId="2" fillId="0" borderId="14" xfId="0" applyFont="1" applyBorder="1" applyAlignment="1">
      <alignment horizontal="center" vertical="center"/>
    </xf>
    <xf numFmtId="41" fontId="0" fillId="0" borderId="6" xfId="0" applyNumberFormat="1" applyBorder="1"/>
    <xf numFmtId="41" fontId="0" fillId="0" borderId="6" xfId="1" applyNumberFormat="1" applyFont="1" applyBorder="1"/>
    <xf numFmtId="41" fontId="0" fillId="0" borderId="6" xfId="1" applyNumberFormat="1" applyFont="1" applyFill="1" applyBorder="1" applyAlignment="1">
      <alignment horizontal="center"/>
    </xf>
    <xf numFmtId="41" fontId="0" fillId="0" borderId="3" xfId="0" applyNumberFormat="1" applyBorder="1"/>
    <xf numFmtId="41" fontId="0" fillId="0" borderId="3" xfId="1" applyNumberFormat="1" applyFont="1" applyBorder="1"/>
    <xf numFmtId="0" fontId="12" fillId="0" borderId="6" xfId="0" applyFont="1" applyBorder="1"/>
    <xf numFmtId="165" fontId="12" fillId="0" borderId="6" xfId="0" applyNumberFormat="1" applyFont="1" applyBorder="1"/>
    <xf numFmtId="43" fontId="12" fillId="0" borderId="6" xfId="0" applyNumberFormat="1" applyFont="1" applyBorder="1"/>
    <xf numFmtId="165" fontId="12" fillId="3" borderId="6" xfId="0" applyNumberFormat="1" applyFont="1" applyFill="1" applyBorder="1"/>
    <xf numFmtId="9" fontId="11" fillId="3" borderId="3" xfId="3" applyFont="1" applyFill="1" applyBorder="1"/>
    <xf numFmtId="9" fontId="11" fillId="0" borderId="3" xfId="3" applyFont="1" applyBorder="1"/>
    <xf numFmtId="165" fontId="12" fillId="3" borderId="8" xfId="0" applyNumberFormat="1" applyFont="1" applyFill="1" applyBorder="1"/>
    <xf numFmtId="9" fontId="11" fillId="3" borderId="10" xfId="3" applyFont="1" applyFill="1" applyBorder="1"/>
    <xf numFmtId="41" fontId="0" fillId="0" borderId="6" xfId="1" applyNumberFormat="1" applyFont="1" applyFill="1" applyBorder="1"/>
    <xf numFmtId="41" fontId="0" fillId="2" borderId="6" xfId="1" applyNumberFormat="1" applyFont="1" applyFill="1" applyBorder="1"/>
    <xf numFmtId="41" fontId="0" fillId="2" borderId="6" xfId="4" applyNumberFormat="1" applyFont="1" applyFill="1" applyBorder="1"/>
    <xf numFmtId="168" fontId="0" fillId="0" borderId="6" xfId="0" applyNumberFormat="1" applyBorder="1"/>
    <xf numFmtId="168" fontId="0" fillId="0" borderId="0" xfId="0" applyNumberFormat="1"/>
    <xf numFmtId="0" fontId="0" fillId="0" borderId="25" xfId="0" applyBorder="1"/>
    <xf numFmtId="0" fontId="0" fillId="0" borderId="32" xfId="0" applyBorder="1"/>
    <xf numFmtId="167" fontId="0" fillId="0" borderId="0" xfId="0" applyNumberFormat="1" applyAlignment="1">
      <alignment horizontal="left"/>
    </xf>
    <xf numFmtId="41" fontId="0" fillId="0" borderId="15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1" fontId="0" fillId="0" borderId="16" xfId="0" applyNumberFormat="1" applyBorder="1"/>
    <xf numFmtId="41" fontId="0" fillId="0" borderId="8" xfId="0" applyNumberFormat="1" applyBorder="1"/>
    <xf numFmtId="41" fontId="0" fillId="0" borderId="10" xfId="0" applyNumberFormat="1" applyBorder="1"/>
    <xf numFmtId="0" fontId="0" fillId="0" borderId="13" xfId="0" applyBorder="1" applyAlignment="1">
      <alignment horizontal="center" vertical="center" wrapText="1"/>
    </xf>
    <xf numFmtId="165" fontId="12" fillId="0" borderId="0" xfId="0" applyNumberFormat="1" applyFont="1"/>
    <xf numFmtId="165" fontId="11" fillId="0" borderId="0" xfId="0" applyNumberFormat="1" applyFont="1"/>
    <xf numFmtId="166" fontId="12" fillId="0" borderId="0" xfId="2" applyNumberFormat="1" applyFont="1" applyFill="1" applyBorder="1"/>
    <xf numFmtId="9" fontId="11" fillId="0" borderId="0" xfId="3" applyFont="1" applyFill="1" applyBorder="1"/>
    <xf numFmtId="1" fontId="0" fillId="0" borderId="0" xfId="0" applyNumberFormat="1" applyAlignment="1">
      <alignment horizontal="left" vertical="top"/>
    </xf>
    <xf numFmtId="165" fontId="11" fillId="9" borderId="6" xfId="0" applyNumberFormat="1" applyFont="1" applyFill="1" applyBorder="1"/>
    <xf numFmtId="165" fontId="12" fillId="9" borderId="6" xfId="0" applyNumberFormat="1" applyFont="1" applyFill="1" applyBorder="1"/>
    <xf numFmtId="165" fontId="11" fillId="0" borderId="6" xfId="0" applyNumberFormat="1" applyFont="1" applyBorder="1"/>
    <xf numFmtId="166" fontId="12" fillId="0" borderId="6" xfId="2" applyNumberFormat="1" applyFont="1" applyFill="1" applyBorder="1"/>
    <xf numFmtId="166" fontId="12" fillId="2" borderId="6" xfId="2" applyNumberFormat="1" applyFont="1" applyFill="1" applyBorder="1"/>
    <xf numFmtId="9" fontId="12" fillId="3" borderId="6" xfId="3" applyFont="1" applyFill="1" applyBorder="1"/>
    <xf numFmtId="9" fontId="12" fillId="3" borderId="8" xfId="3" applyFont="1" applyFill="1" applyBorder="1"/>
    <xf numFmtId="0" fontId="12" fillId="9" borderId="6" xfId="0" applyFont="1" applyFill="1" applyBorder="1"/>
    <xf numFmtId="165" fontId="12" fillId="9" borderId="8" xfId="0" applyNumberFormat="1" applyFont="1" applyFill="1" applyBorder="1"/>
    <xf numFmtId="166" fontId="12" fillId="9" borderId="6" xfId="2" applyNumberFormat="1" applyFont="1" applyFill="1" applyBorder="1"/>
    <xf numFmtId="43" fontId="12" fillId="9" borderId="6" xfId="0" applyNumberFormat="1" applyFont="1" applyFill="1" applyBorder="1"/>
    <xf numFmtId="165" fontId="12" fillId="0" borderId="8" xfId="0" applyNumberFormat="1" applyFont="1" applyBorder="1"/>
    <xf numFmtId="0" fontId="0" fillId="10" borderId="7" xfId="0" applyFill="1" applyBorder="1"/>
    <xf numFmtId="166" fontId="0" fillId="10" borderId="6" xfId="2" applyNumberFormat="1" applyFont="1" applyFill="1" applyBorder="1"/>
    <xf numFmtId="0" fontId="4" fillId="10" borderId="6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2" fontId="0" fillId="10" borderId="6" xfId="0" applyNumberFormat="1" applyFill="1" applyBorder="1"/>
    <xf numFmtId="0" fontId="0" fillId="10" borderId="6" xfId="0" applyFill="1" applyBorder="1"/>
    <xf numFmtId="165" fontId="0" fillId="10" borderId="6" xfId="0" applyNumberFormat="1" applyFill="1" applyBorder="1"/>
    <xf numFmtId="165" fontId="0" fillId="10" borderId="8" xfId="0" applyNumberFormat="1" applyFill="1" applyBorder="1"/>
    <xf numFmtId="169" fontId="0" fillId="0" borderId="0" xfId="3" applyNumberFormat="1" applyFont="1"/>
    <xf numFmtId="2" fontId="0" fillId="0" borderId="0" xfId="0" applyNumberFormat="1"/>
    <xf numFmtId="0" fontId="5" fillId="0" borderId="3" xfId="0" applyFont="1" applyBorder="1"/>
    <xf numFmtId="2" fontId="5" fillId="0" borderId="3" xfId="0" applyNumberFormat="1" applyFont="1" applyBorder="1"/>
    <xf numFmtId="42" fontId="0" fillId="0" borderId="0" xfId="4" applyFont="1"/>
    <xf numFmtId="42" fontId="0" fillId="0" borderId="0" xfId="0" applyNumberFormat="1"/>
    <xf numFmtId="0" fontId="0" fillId="0" borderId="11" xfId="0" applyBorder="1"/>
    <xf numFmtId="0" fontId="0" fillId="0" borderId="12" xfId="0" applyBorder="1"/>
    <xf numFmtId="17" fontId="0" fillId="0" borderId="12" xfId="0" applyNumberFormat="1" applyBorder="1"/>
    <xf numFmtId="0" fontId="0" fillId="0" borderId="33" xfId="0" applyBorder="1"/>
    <xf numFmtId="0" fontId="0" fillId="0" borderId="4" xfId="0" applyBorder="1"/>
    <xf numFmtId="41" fontId="0" fillId="0" borderId="4" xfId="0" applyNumberFormat="1" applyBorder="1"/>
    <xf numFmtId="0" fontId="0" fillId="0" borderId="3" xfId="0" applyBorder="1"/>
    <xf numFmtId="170" fontId="0" fillId="0" borderId="6" xfId="0" applyNumberFormat="1" applyBorder="1"/>
    <xf numFmtId="0" fontId="0" fillId="0" borderId="13" xfId="0" applyBorder="1"/>
    <xf numFmtId="0" fontId="0" fillId="0" borderId="8" xfId="0" applyBorder="1"/>
    <xf numFmtId="0" fontId="0" fillId="0" borderId="10" xfId="0" applyBorder="1"/>
    <xf numFmtId="0" fontId="0" fillId="0" borderId="34" xfId="0" applyBorder="1"/>
    <xf numFmtId="0" fontId="0" fillId="2" borderId="8" xfId="0" applyFill="1" applyBorder="1"/>
    <xf numFmtId="0" fontId="0" fillId="2" borderId="7" xfId="0" applyFill="1" applyBorder="1"/>
    <xf numFmtId="0" fontId="0" fillId="2" borderId="6" xfId="0" applyFill="1" applyBorder="1"/>
    <xf numFmtId="41" fontId="0" fillId="2" borderId="6" xfId="0" applyNumberFormat="1" applyFill="1" applyBorder="1"/>
    <xf numFmtId="170" fontId="1" fillId="12" borderId="6" xfId="1" applyNumberFormat="1" applyFont="1" applyFill="1" applyBorder="1" applyAlignment="1">
      <alignment vertical="center"/>
    </xf>
    <xf numFmtId="170" fontId="0" fillId="0" borderId="6" xfId="1" applyNumberFormat="1" applyFont="1" applyBorder="1"/>
    <xf numFmtId="170" fontId="0" fillId="0" borderId="0" xfId="1" applyNumberFormat="1" applyFont="1"/>
    <xf numFmtId="170" fontId="18" fillId="12" borderId="6" xfId="30" applyNumberFormat="1" applyFont="1" applyFill="1" applyBorder="1" applyAlignment="1">
      <alignment vertical="center"/>
    </xf>
    <xf numFmtId="170" fontId="18" fillId="12" borderId="6" xfId="31" applyNumberFormat="1" applyFont="1" applyFill="1" applyBorder="1" applyAlignment="1">
      <alignment vertical="center"/>
    </xf>
    <xf numFmtId="170" fontId="18" fillId="12" borderId="6" xfId="32" applyNumberFormat="1" applyFont="1" applyFill="1" applyBorder="1" applyAlignment="1">
      <alignment vertical="center"/>
    </xf>
    <xf numFmtId="170" fontId="20" fillId="12" borderId="6" xfId="33" applyNumberFormat="1" applyFont="1" applyFill="1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70" fontId="18" fillId="12" borderId="6" xfId="35" applyNumberFormat="1" applyFont="1" applyFill="1" applyBorder="1" applyAlignment="1">
      <alignment vertical="center"/>
    </xf>
    <xf numFmtId="3" fontId="12" fillId="12" borderId="6" xfId="28" applyNumberFormat="1" applyFont="1" applyFill="1" applyBorder="1" applyAlignment="1">
      <alignment vertical="center"/>
    </xf>
    <xf numFmtId="170" fontId="0" fillId="0" borderId="6" xfId="0" applyNumberFormat="1" applyFill="1" applyBorder="1"/>
    <xf numFmtId="170" fontId="0" fillId="0" borderId="0" xfId="0" applyNumberFormat="1"/>
    <xf numFmtId="164" fontId="0" fillId="0" borderId="18" xfId="2" applyFont="1" applyBorder="1" applyAlignment="1">
      <alignment horizontal="center"/>
    </xf>
    <xf numFmtId="164" fontId="0" fillId="0" borderId="5" xfId="2" applyFont="1" applyBorder="1" applyAlignment="1">
      <alignment horizontal="center"/>
    </xf>
    <xf numFmtId="164" fontId="0" fillId="0" borderId="21" xfId="2" applyFont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0" fillId="10" borderId="18" xfId="2" applyFont="1" applyFill="1" applyBorder="1" applyAlignment="1">
      <alignment horizontal="center"/>
    </xf>
    <xf numFmtId="164" fontId="0" fillId="10" borderId="5" xfId="2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 vertical="top"/>
    </xf>
    <xf numFmtId="164" fontId="0" fillId="0" borderId="6" xfId="2" applyFont="1" applyBorder="1" applyAlignment="1">
      <alignment horizontal="center"/>
    </xf>
    <xf numFmtId="164" fontId="0" fillId="10" borderId="6" xfId="2" applyFont="1" applyFill="1" applyBorder="1" applyAlignment="1">
      <alignment horizontal="center"/>
    </xf>
  </cellXfs>
  <cellStyles count="36">
    <cellStyle name="20% - Accent3 2" xfId="6" xr:uid="{00000000-0005-0000-0000-000000000000}"/>
    <cellStyle name="40% - Accent1 2" xfId="7" xr:uid="{00000000-0005-0000-0000-000001000000}"/>
    <cellStyle name="Accent3 2" xfId="8" xr:uid="{00000000-0005-0000-0000-000002000000}"/>
    <cellStyle name="Accent4 2" xfId="9" xr:uid="{00000000-0005-0000-0000-000003000000}"/>
    <cellStyle name="Bad 2" xfId="28" xr:uid="{F36986BA-FAF1-4174-A523-A4E523B75A01}"/>
    <cellStyle name="Comma" xfId="1" builtinId="3"/>
    <cellStyle name="Comma [0]" xfId="2" builtinId="6"/>
    <cellStyle name="Comma [0] 2" xfId="13" xr:uid="{00000000-0005-0000-0000-000006000000}"/>
    <cellStyle name="Comma [0] 3" xfId="12" xr:uid="{00000000-0005-0000-0000-000007000000}"/>
    <cellStyle name="Comma 10" xfId="19" xr:uid="{00000000-0005-0000-0000-000008000000}"/>
    <cellStyle name="Comma 11" xfId="5" xr:uid="{00000000-0005-0000-0000-000009000000}"/>
    <cellStyle name="Comma 12" xfId="10" xr:uid="{00000000-0005-0000-0000-00000A000000}"/>
    <cellStyle name="Comma 13" xfId="26" xr:uid="{00000000-0005-0000-0000-00000B000000}"/>
    <cellStyle name="Comma 14" xfId="27" xr:uid="{6D2E97C7-2C5C-42CF-AA33-4A9722FCBE49}"/>
    <cellStyle name="Comma 15" xfId="30" xr:uid="{E4FBC692-1C09-4B4C-8AC8-F2CEDDE85C10}"/>
    <cellStyle name="Comma 16" xfId="31" xr:uid="{539F9425-C354-4708-B48A-76F9CC790B58}"/>
    <cellStyle name="Comma 17" xfId="34" xr:uid="{AB93AB3E-6863-4D58-9FAB-1F84A86C86AF}"/>
    <cellStyle name="Comma 18" xfId="32" xr:uid="{39BB701B-F903-4975-89CE-703606F4122A}"/>
    <cellStyle name="Comma 19" xfId="33" xr:uid="{F6D8F6C8-C84F-4F31-A66B-991F4FF37867}"/>
    <cellStyle name="Comma 2" xfId="14" xr:uid="{00000000-0005-0000-0000-00000C000000}"/>
    <cellStyle name="Comma 20" xfId="35" xr:uid="{5138AB1D-B9AC-434B-8A8C-AD853D90A2FC}"/>
    <cellStyle name="Comma 3" xfId="11" xr:uid="{00000000-0005-0000-0000-00000D000000}"/>
    <cellStyle name="Comma 4" xfId="21" xr:uid="{00000000-0005-0000-0000-00000E000000}"/>
    <cellStyle name="Comma 5" xfId="23" xr:uid="{00000000-0005-0000-0000-00000F000000}"/>
    <cellStyle name="Comma 6" xfId="20" xr:uid="{00000000-0005-0000-0000-000010000000}"/>
    <cellStyle name="Comma 7" xfId="24" xr:uid="{00000000-0005-0000-0000-000011000000}"/>
    <cellStyle name="Comma 8" xfId="22" xr:uid="{00000000-0005-0000-0000-000012000000}"/>
    <cellStyle name="Comma 9" xfId="25" xr:uid="{00000000-0005-0000-0000-000013000000}"/>
    <cellStyle name="Currency [0]" xfId="4" builtinId="7"/>
    <cellStyle name="Heading 3 2" xfId="15" xr:uid="{00000000-0005-0000-0000-000015000000}"/>
    <cellStyle name="Neutral 2" xfId="16" xr:uid="{00000000-0005-0000-0000-000016000000}"/>
    <cellStyle name="Neutral 3" xfId="29" xr:uid="{2739C8A8-5B29-465F-BB63-E49DBE35122B}"/>
    <cellStyle name="Normal" xfId="0" builtinId="0"/>
    <cellStyle name="Normal 2" xfId="17" xr:uid="{00000000-0005-0000-0000-000018000000}"/>
    <cellStyle name="Percent" xfId="3" builtinId="5"/>
    <cellStyle name="Warning Text 2" xfId="18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1264098</xdr:colOff>
      <xdr:row>8</xdr:row>
      <xdr:rowOff>3756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8D6D86-9BB6-48F3-BBE3-3893BD6FA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7232430" cy="15277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10</xdr:col>
      <xdr:colOff>1167849</xdr:colOff>
      <xdr:row>7</xdr:row>
      <xdr:rowOff>184832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AD2CA-4946-4B41-98C5-EF7634731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0"/>
          <a:ext cx="6766890" cy="1518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1239250</xdr:colOff>
      <xdr:row>8</xdr:row>
      <xdr:rowOff>3756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36E935-6496-4D9D-A037-D9E27E544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7227989" cy="15277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1065315</xdr:colOff>
      <xdr:row>8</xdr:row>
      <xdr:rowOff>3756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709CC-1579-4933-A75E-147820467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7227989" cy="1527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4"/>
  <sheetViews>
    <sheetView showGridLines="0" tabSelected="1" view="pageLayout" zoomScaleNormal="100" zoomScaleSheetLayoutView="100" workbookViewId="0">
      <selection activeCell="K11" sqref="K11"/>
    </sheetView>
  </sheetViews>
  <sheetFormatPr defaultRowHeight="15" x14ac:dyDescent="0.25"/>
  <cols>
    <col min="1" max="1" width="11.85546875" bestFit="1" customWidth="1"/>
    <col min="2" max="2" width="21.28515625" customWidth="1"/>
    <col min="3" max="3" width="6" customWidth="1"/>
    <col min="4" max="4" width="4.7109375" customWidth="1"/>
    <col min="5" max="5" width="1.7109375" customWidth="1"/>
    <col min="6" max="6" width="6.5703125" style="18" customWidth="1"/>
    <col min="7" max="7" width="5.7109375" style="18" customWidth="1"/>
    <col min="8" max="8" width="7.28515625" style="18" customWidth="1"/>
    <col min="9" max="9" width="10.140625" customWidth="1"/>
    <col min="10" max="10" width="6.140625" customWidth="1"/>
    <col min="11" max="11" width="12.85546875" customWidth="1"/>
    <col min="12" max="12" width="14.5703125" bestFit="1" customWidth="1"/>
    <col min="13" max="13" width="12.140625" bestFit="1" customWidth="1"/>
    <col min="14" max="14" width="14.5703125" bestFit="1" customWidth="1"/>
    <col min="15" max="15" width="14.5703125" customWidth="1"/>
    <col min="16" max="16" width="8.42578125" bestFit="1" customWidth="1"/>
    <col min="17" max="17" width="23.28515625" bestFit="1" customWidth="1"/>
    <col min="18" max="18" width="18.85546875" bestFit="1" customWidth="1"/>
    <col min="19" max="19" width="9.5703125" bestFit="1" customWidth="1"/>
    <col min="20" max="20" width="15.85546875" bestFit="1" customWidth="1"/>
    <col min="21" max="21" width="13.42578125" customWidth="1"/>
    <col min="22" max="22" width="10" customWidth="1"/>
    <col min="23" max="23" width="13.5703125" customWidth="1"/>
    <col min="24" max="24" width="12.5703125" customWidth="1"/>
  </cols>
  <sheetData>
    <row r="1" spans="1:25" ht="24" thickBot="1" x14ac:dyDescent="0.4">
      <c r="B1" s="174" t="s">
        <v>0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9"/>
      <c r="N1" s="19"/>
      <c r="O1" s="19"/>
      <c r="R1" s="17" t="s">
        <v>7</v>
      </c>
      <c r="S1" s="17"/>
      <c r="T1" s="17"/>
      <c r="U1" s="17"/>
      <c r="V1" s="17"/>
    </row>
    <row r="2" spans="1:25" ht="13.5" customHeight="1" thickTop="1" x14ac:dyDescent="0.25">
      <c r="B2" s="1" t="s">
        <v>1</v>
      </c>
      <c r="C2" s="1"/>
      <c r="D2" s="1"/>
      <c r="E2" t="s">
        <v>2</v>
      </c>
      <c r="F2" s="28" t="s">
        <v>241</v>
      </c>
      <c r="G2" s="29"/>
      <c r="H2" s="29"/>
      <c r="P2" s="68" t="s">
        <v>47</v>
      </c>
      <c r="Q2" s="21" t="s">
        <v>14</v>
      </c>
      <c r="R2" s="20" t="s">
        <v>13</v>
      </c>
      <c r="S2" s="21" t="s">
        <v>26</v>
      </c>
      <c r="T2" s="21" t="s">
        <v>15</v>
      </c>
      <c r="U2" s="21" t="s">
        <v>24</v>
      </c>
      <c r="V2" s="21" t="s">
        <v>12</v>
      </c>
      <c r="W2" s="22" t="s">
        <v>16</v>
      </c>
    </row>
    <row r="3" spans="1:25" ht="13.5" customHeight="1" x14ac:dyDescent="0.25">
      <c r="B3" s="1" t="s">
        <v>92</v>
      </c>
      <c r="C3" s="1"/>
      <c r="D3" s="1"/>
      <c r="E3" t="s">
        <v>2</v>
      </c>
      <c r="F3" s="28" t="s">
        <v>242</v>
      </c>
      <c r="G3" s="29"/>
      <c r="H3" s="29"/>
      <c r="P3" s="37" t="s">
        <v>249</v>
      </c>
      <c r="Q3" s="152" t="s">
        <v>247</v>
      </c>
      <c r="R3" s="23" t="s">
        <v>248</v>
      </c>
      <c r="S3" s="69">
        <v>68</v>
      </c>
      <c r="T3" s="69">
        <v>6200</v>
      </c>
      <c r="U3" s="71">
        <f t="shared" ref="U3:U16" si="0">+T3*0.11</f>
        <v>682</v>
      </c>
      <c r="V3" s="71">
        <f t="shared" ref="V3:V16" si="1">+U3+T3</f>
        <v>6882</v>
      </c>
      <c r="W3" s="24" t="s">
        <v>18</v>
      </c>
    </row>
    <row r="4" spans="1:25" ht="13.5" customHeight="1" x14ac:dyDescent="0.25">
      <c r="B4" s="1" t="s">
        <v>3</v>
      </c>
      <c r="C4" s="1"/>
      <c r="D4" s="1"/>
      <c r="E4" t="s">
        <v>2</v>
      </c>
      <c r="F4" s="28" t="s">
        <v>237</v>
      </c>
      <c r="G4" s="29"/>
      <c r="H4" s="29"/>
      <c r="P4" s="37" t="s">
        <v>100</v>
      </c>
      <c r="Q4" s="152" t="s">
        <v>102</v>
      </c>
      <c r="R4" s="23" t="s">
        <v>181</v>
      </c>
      <c r="S4" s="69">
        <v>70</v>
      </c>
      <c r="T4" s="69">
        <f>17500+500</f>
        <v>18000</v>
      </c>
      <c r="U4" s="71">
        <f t="shared" si="0"/>
        <v>1980</v>
      </c>
      <c r="V4" s="71">
        <f t="shared" si="1"/>
        <v>19980</v>
      </c>
      <c r="W4" s="24" t="s">
        <v>18</v>
      </c>
    </row>
    <row r="5" spans="1:25" ht="13.5" customHeight="1" x14ac:dyDescent="0.25">
      <c r="B5" s="1" t="s">
        <v>4</v>
      </c>
      <c r="C5" s="1"/>
      <c r="D5" s="1"/>
      <c r="E5" t="s">
        <v>2</v>
      </c>
      <c r="F5" s="28" t="s">
        <v>243</v>
      </c>
      <c r="G5" s="29"/>
      <c r="H5" s="29"/>
      <c r="P5" s="37" t="s">
        <v>101</v>
      </c>
      <c r="Q5" s="152" t="s">
        <v>102</v>
      </c>
      <c r="R5" s="23" t="s">
        <v>181</v>
      </c>
      <c r="S5" s="69">
        <v>80</v>
      </c>
      <c r="T5" s="69">
        <f>17500+500</f>
        <v>18000</v>
      </c>
      <c r="U5" s="71">
        <f t="shared" si="0"/>
        <v>1980</v>
      </c>
      <c r="V5" s="71">
        <f t="shared" si="1"/>
        <v>19980</v>
      </c>
      <c r="W5" s="24" t="s">
        <v>18</v>
      </c>
    </row>
    <row r="6" spans="1:25" s="18" customFormat="1" ht="13.5" customHeight="1" x14ac:dyDescent="0.25">
      <c r="A6"/>
      <c r="B6" s="1" t="s">
        <v>21</v>
      </c>
      <c r="C6" s="1"/>
      <c r="D6" s="1"/>
      <c r="E6" t="s">
        <v>2</v>
      </c>
      <c r="F6" s="28">
        <v>1200</v>
      </c>
      <c r="G6" s="29">
        <v>500</v>
      </c>
      <c r="H6" s="29">
        <v>200</v>
      </c>
      <c r="I6"/>
      <c r="J6"/>
      <c r="K6"/>
      <c r="L6"/>
      <c r="M6"/>
      <c r="N6"/>
      <c r="O6"/>
      <c r="P6" s="37" t="s">
        <v>207</v>
      </c>
      <c r="Q6" s="152" t="s">
        <v>98</v>
      </c>
      <c r="R6" s="23" t="s">
        <v>179</v>
      </c>
      <c r="S6" s="69">
        <v>70</v>
      </c>
      <c r="T6" s="69">
        <f>15780+500</f>
        <v>16280</v>
      </c>
      <c r="U6" s="71">
        <f t="shared" si="0"/>
        <v>1790.8</v>
      </c>
      <c r="V6" s="71">
        <f t="shared" si="1"/>
        <v>18070.8</v>
      </c>
      <c r="W6" s="24" t="s">
        <v>18</v>
      </c>
    </row>
    <row r="7" spans="1:25" ht="13.5" customHeight="1" x14ac:dyDescent="0.25">
      <c r="A7" s="18"/>
      <c r="B7" s="1" t="s">
        <v>5</v>
      </c>
      <c r="C7" s="1"/>
      <c r="D7" s="1"/>
      <c r="E7" t="s">
        <v>2</v>
      </c>
      <c r="F7" s="175">
        <v>45433</v>
      </c>
      <c r="G7" s="175"/>
      <c r="H7" s="29"/>
      <c r="I7" s="18"/>
      <c r="J7" s="18"/>
      <c r="K7" s="18"/>
      <c r="L7" s="10"/>
      <c r="M7" s="10"/>
      <c r="N7" s="10"/>
      <c r="O7" s="10"/>
      <c r="P7" s="37" t="s">
        <v>99</v>
      </c>
      <c r="Q7" s="152" t="s">
        <v>98</v>
      </c>
      <c r="R7" s="23" t="s">
        <v>179</v>
      </c>
      <c r="S7" s="69">
        <v>80</v>
      </c>
      <c r="T7" s="69">
        <f>15780+500</f>
        <v>16280</v>
      </c>
      <c r="U7" s="71">
        <f t="shared" si="0"/>
        <v>1790.8</v>
      </c>
      <c r="V7" s="71">
        <f t="shared" si="1"/>
        <v>18070.8</v>
      </c>
      <c r="W7" s="24" t="s">
        <v>18</v>
      </c>
      <c r="X7" s="18"/>
      <c r="Y7" s="18"/>
    </row>
    <row r="8" spans="1:25" ht="13.5" customHeight="1" x14ac:dyDescent="0.25">
      <c r="B8" s="1" t="s">
        <v>6</v>
      </c>
      <c r="C8" s="1"/>
      <c r="D8" s="1"/>
      <c r="E8" t="s">
        <v>2</v>
      </c>
      <c r="F8" s="28">
        <v>5000</v>
      </c>
      <c r="G8" s="29"/>
      <c r="H8" s="29"/>
      <c r="P8" s="37" t="s">
        <v>210</v>
      </c>
      <c r="Q8" s="152" t="s">
        <v>212</v>
      </c>
      <c r="R8" s="23" t="s">
        <v>179</v>
      </c>
      <c r="S8" s="69">
        <v>70</v>
      </c>
      <c r="T8" s="69">
        <f>16800+500</f>
        <v>17300</v>
      </c>
      <c r="U8" s="71">
        <f t="shared" si="0"/>
        <v>1903</v>
      </c>
      <c r="V8" s="71">
        <f t="shared" si="1"/>
        <v>19203</v>
      </c>
      <c r="W8" s="24" t="s">
        <v>18</v>
      </c>
      <c r="X8" s="18"/>
      <c r="Y8" s="18"/>
    </row>
    <row r="9" spans="1:25" ht="13.5" customHeight="1" thickBot="1" x14ac:dyDescent="0.3">
      <c r="B9" s="1" t="s">
        <v>28</v>
      </c>
      <c r="C9" s="1"/>
      <c r="D9" s="1"/>
      <c r="E9" t="s">
        <v>2</v>
      </c>
      <c r="F9" s="28">
        <v>0</v>
      </c>
      <c r="G9" s="29" t="s">
        <v>29</v>
      </c>
      <c r="H9" s="29"/>
      <c r="P9" s="37" t="s">
        <v>211</v>
      </c>
      <c r="Q9" s="152" t="s">
        <v>212</v>
      </c>
      <c r="R9" s="23" t="s">
        <v>179</v>
      </c>
      <c r="S9" s="69">
        <v>80</v>
      </c>
      <c r="T9" s="69">
        <f>16800+500</f>
        <v>17300</v>
      </c>
      <c r="U9" s="71">
        <f t="shared" si="0"/>
        <v>1903</v>
      </c>
      <c r="V9" s="71">
        <f t="shared" si="1"/>
        <v>19203</v>
      </c>
      <c r="W9" s="24" t="s">
        <v>18</v>
      </c>
      <c r="X9" s="18"/>
      <c r="Y9" s="18"/>
    </row>
    <row r="10" spans="1:25" ht="13.5" customHeight="1" thickTop="1" x14ac:dyDescent="0.25">
      <c r="A10" s="39" t="s">
        <v>41</v>
      </c>
      <c r="B10" s="21" t="s">
        <v>8</v>
      </c>
      <c r="C10" s="21" t="s">
        <v>47</v>
      </c>
      <c r="D10" s="176" t="s">
        <v>26</v>
      </c>
      <c r="E10" s="177"/>
      <c r="F10" s="166" t="s">
        <v>9</v>
      </c>
      <c r="G10" s="166"/>
      <c r="H10" s="166"/>
      <c r="I10" s="21" t="s">
        <v>6</v>
      </c>
      <c r="J10" s="21" t="s">
        <v>10</v>
      </c>
      <c r="K10" s="21" t="s">
        <v>11</v>
      </c>
      <c r="L10" s="21" t="s">
        <v>12</v>
      </c>
      <c r="M10" s="21" t="s">
        <v>24</v>
      </c>
      <c r="N10" s="22" t="s">
        <v>25</v>
      </c>
      <c r="O10" s="11"/>
      <c r="P10" s="37" t="s">
        <v>96</v>
      </c>
      <c r="Q10" s="152" t="s">
        <v>86</v>
      </c>
      <c r="R10" s="23" t="s">
        <v>182</v>
      </c>
      <c r="S10" s="69">
        <v>70</v>
      </c>
      <c r="T10" s="69">
        <f>21700+500</f>
        <v>22200</v>
      </c>
      <c r="U10" s="71">
        <f t="shared" si="0"/>
        <v>2442</v>
      </c>
      <c r="V10" s="71">
        <f t="shared" si="1"/>
        <v>24642</v>
      </c>
      <c r="W10" s="24" t="s">
        <v>18</v>
      </c>
      <c r="X10" s="18"/>
      <c r="Y10" s="18"/>
    </row>
    <row r="11" spans="1:25" ht="13.5" customHeight="1" x14ac:dyDescent="0.25">
      <c r="A11" s="15" t="s">
        <v>42</v>
      </c>
      <c r="B11" s="3" t="str">
        <f t="shared" ref="B11:B19" si="2">+VLOOKUP(C11,$P$3:$W$69,2,FALSE)</f>
        <v>Australian Paper Reguler</v>
      </c>
      <c r="C11" s="61" t="s">
        <v>99</v>
      </c>
      <c r="D11" s="158">
        <f t="shared" ref="D11:D19" si="3">+VLOOKUP(C11,$P$3:$W$69,4,FALSE)</f>
        <v>80</v>
      </c>
      <c r="E11" s="159"/>
      <c r="F11" s="34">
        <f>+($G$6+$H$6)*2+30</f>
        <v>1430</v>
      </c>
      <c r="G11" s="5" t="s">
        <v>17</v>
      </c>
      <c r="H11" s="34">
        <f t="shared" ref="H11:H13" si="4">+$F$6</f>
        <v>1200</v>
      </c>
      <c r="I11" s="36">
        <f>(F11*H11*D11)/1000000</f>
        <v>137.28</v>
      </c>
      <c r="J11" s="2" t="s">
        <v>27</v>
      </c>
      <c r="K11" s="3">
        <f t="shared" ref="K11:K18" si="5">+VLOOKUP(C11,$P$3:$W$69,5,FALSE)</f>
        <v>16280</v>
      </c>
      <c r="L11" s="4">
        <f>IF(D11&gt;0,K11*I11,0)/1000</f>
        <v>2234.9184</v>
      </c>
      <c r="M11" s="4">
        <f>+L11*11%</f>
        <v>245.841024</v>
      </c>
      <c r="N11" s="32">
        <f>+M11+L11</f>
        <v>2480.7594239999999</v>
      </c>
      <c r="O11" s="9"/>
      <c r="P11" s="37" t="s">
        <v>97</v>
      </c>
      <c r="Q11" s="152" t="s">
        <v>86</v>
      </c>
      <c r="R11" s="23" t="s">
        <v>182</v>
      </c>
      <c r="S11" s="69">
        <v>80</v>
      </c>
      <c r="T11" s="69">
        <f>21850+500</f>
        <v>22350</v>
      </c>
      <c r="U11" s="71">
        <f t="shared" si="0"/>
        <v>2458.5</v>
      </c>
      <c r="V11" s="71">
        <f t="shared" si="1"/>
        <v>24808.5</v>
      </c>
      <c r="W11" s="24" t="s">
        <v>18</v>
      </c>
      <c r="X11" s="18"/>
      <c r="Y11" s="18"/>
    </row>
    <row r="12" spans="1:25" ht="13.5" customHeight="1" x14ac:dyDescent="0.25">
      <c r="A12" s="15" t="s">
        <v>43</v>
      </c>
      <c r="B12" s="3" t="str">
        <f t="shared" si="2"/>
        <v>Australian Paper Reguler</v>
      </c>
      <c r="C12" s="61" t="s">
        <v>99</v>
      </c>
      <c r="D12" s="158">
        <f t="shared" si="3"/>
        <v>80</v>
      </c>
      <c r="E12" s="159"/>
      <c r="F12" s="34">
        <f>+($G$6+$H$6)*2+30</f>
        <v>1430</v>
      </c>
      <c r="G12" s="5" t="s">
        <v>17</v>
      </c>
      <c r="H12" s="34">
        <f t="shared" si="4"/>
        <v>1200</v>
      </c>
      <c r="I12" s="36">
        <f>(F12*H12*D12)/1000000</f>
        <v>137.28</v>
      </c>
      <c r="J12" s="2" t="s">
        <v>27</v>
      </c>
      <c r="K12" s="3">
        <f t="shared" si="5"/>
        <v>16280</v>
      </c>
      <c r="L12" s="4">
        <f>IF(D12&gt;0,K12*I12,0)/1000</f>
        <v>2234.9184</v>
      </c>
      <c r="M12" s="4">
        <f t="shared" ref="M12:M18" si="6">+L12*11%</f>
        <v>245.841024</v>
      </c>
      <c r="N12" s="32">
        <f>+M12+L12</f>
        <v>2480.7594239999999</v>
      </c>
      <c r="O12" s="9"/>
      <c r="P12" s="37" t="s">
        <v>202</v>
      </c>
      <c r="Q12" s="23" t="s">
        <v>201</v>
      </c>
      <c r="R12" s="23" t="s">
        <v>180</v>
      </c>
      <c r="S12" s="69">
        <v>72</v>
      </c>
      <c r="T12" s="82">
        <f>12500+500</f>
        <v>13000</v>
      </c>
      <c r="U12" s="71">
        <f t="shared" si="0"/>
        <v>1430</v>
      </c>
      <c r="V12" s="71">
        <f t="shared" si="1"/>
        <v>14430</v>
      </c>
      <c r="W12" s="24" t="s">
        <v>18</v>
      </c>
      <c r="X12" s="18"/>
      <c r="Y12" s="18"/>
    </row>
    <row r="13" spans="1:25" ht="13.5" customHeight="1" x14ac:dyDescent="0.25">
      <c r="A13" s="15" t="s">
        <v>43</v>
      </c>
      <c r="B13" s="3" t="str">
        <f t="shared" si="2"/>
        <v>Australian Paper Reguler</v>
      </c>
      <c r="C13" s="61" t="s">
        <v>99</v>
      </c>
      <c r="D13" s="158">
        <f t="shared" si="3"/>
        <v>80</v>
      </c>
      <c r="E13" s="159"/>
      <c r="F13" s="34">
        <f>+($G$6+$H$6)*2+30</f>
        <v>1430</v>
      </c>
      <c r="G13" s="5" t="s">
        <v>17</v>
      </c>
      <c r="H13" s="34">
        <f t="shared" si="4"/>
        <v>1200</v>
      </c>
      <c r="I13" s="36">
        <f>(F13*H13*D13)/1000000</f>
        <v>137.28</v>
      </c>
      <c r="J13" s="2" t="s">
        <v>27</v>
      </c>
      <c r="K13" s="3">
        <f t="shared" si="5"/>
        <v>16280</v>
      </c>
      <c r="L13" s="4">
        <f>IF(D13&gt;0,K13*I13,0)/1000</f>
        <v>2234.9184</v>
      </c>
      <c r="M13" s="4">
        <f t="shared" ref="M13" si="7">+L13*11%</f>
        <v>245.841024</v>
      </c>
      <c r="N13" s="32">
        <f>+M13+L13</f>
        <v>2480.7594239999999</v>
      </c>
      <c r="O13" s="9"/>
      <c r="P13" s="37" t="s">
        <v>244</v>
      </c>
      <c r="Q13" s="152" t="s">
        <v>245</v>
      </c>
      <c r="R13" s="23" t="s">
        <v>246</v>
      </c>
      <c r="S13" s="69">
        <v>75</v>
      </c>
      <c r="T13" s="69">
        <v>9650</v>
      </c>
      <c r="U13" s="71">
        <f t="shared" si="0"/>
        <v>1061.5</v>
      </c>
      <c r="V13" s="71">
        <f t="shared" si="1"/>
        <v>10711.5</v>
      </c>
      <c r="W13" s="24" t="s">
        <v>18</v>
      </c>
    </row>
    <row r="14" spans="1:25" ht="13.5" customHeight="1" x14ac:dyDescent="0.25">
      <c r="A14" s="15" t="s">
        <v>43</v>
      </c>
      <c r="B14" s="3">
        <f t="shared" si="2"/>
        <v>0</v>
      </c>
      <c r="C14" s="61"/>
      <c r="D14" s="158">
        <f t="shared" si="3"/>
        <v>0</v>
      </c>
      <c r="E14" s="159"/>
      <c r="F14" s="34">
        <f>+($G$6+$H$6)*2+30</f>
        <v>1430</v>
      </c>
      <c r="G14" s="5" t="s">
        <v>17</v>
      </c>
      <c r="H14" s="34">
        <f>+$F$6</f>
        <v>1200</v>
      </c>
      <c r="I14" s="36">
        <f>(F14*H14*D14)/1000000</f>
        <v>0</v>
      </c>
      <c r="J14" s="2" t="s">
        <v>27</v>
      </c>
      <c r="K14" s="3">
        <f t="shared" si="5"/>
        <v>0</v>
      </c>
      <c r="L14" s="4">
        <f t="shared" ref="L14:L18" si="8">IF(D14&gt;0,K14*I14,0)/1000</f>
        <v>0</v>
      </c>
      <c r="M14" s="4">
        <f t="shared" si="6"/>
        <v>0</v>
      </c>
      <c r="N14" s="32">
        <f t="shared" ref="N14" si="9">+M14+L14</f>
        <v>0</v>
      </c>
      <c r="O14" s="9"/>
      <c r="P14" s="37" t="s">
        <v>186</v>
      </c>
      <c r="Q14" s="152" t="s">
        <v>184</v>
      </c>
      <c r="R14" s="23" t="s">
        <v>179</v>
      </c>
      <c r="S14" s="69">
        <v>80</v>
      </c>
      <c r="T14" s="70">
        <v>12000</v>
      </c>
      <c r="U14" s="71">
        <f t="shared" si="0"/>
        <v>1320</v>
      </c>
      <c r="V14" s="71">
        <f t="shared" si="1"/>
        <v>13320</v>
      </c>
      <c r="W14" s="24" t="s">
        <v>18</v>
      </c>
    </row>
    <row r="15" spans="1:25" ht="13.5" customHeight="1" x14ac:dyDescent="0.25">
      <c r="A15" s="115" t="s">
        <v>44</v>
      </c>
      <c r="B15" s="116">
        <f t="shared" si="2"/>
        <v>0</v>
      </c>
      <c r="C15" s="61">
        <v>0</v>
      </c>
      <c r="D15" s="178">
        <f t="shared" si="3"/>
        <v>0</v>
      </c>
      <c r="E15" s="179"/>
      <c r="F15" s="117">
        <f>+($G$6+$H$6)*2</f>
        <v>1400</v>
      </c>
      <c r="G15" s="118" t="s">
        <v>17</v>
      </c>
      <c r="H15" s="117">
        <f>+F6+100</f>
        <v>1300</v>
      </c>
      <c r="I15" s="119">
        <f>+IF(D15&gt;0,(1000/(5200/(F15/2)/H15/(D15/100000))),0)</f>
        <v>0</v>
      </c>
      <c r="J15" s="120" t="s">
        <v>27</v>
      </c>
      <c r="K15" s="116">
        <f t="shared" si="5"/>
        <v>0</v>
      </c>
      <c r="L15" s="121">
        <f t="shared" si="8"/>
        <v>0</v>
      </c>
      <c r="M15" s="121">
        <f t="shared" si="6"/>
        <v>0</v>
      </c>
      <c r="N15" s="122">
        <f>+M15+L15</f>
        <v>0</v>
      </c>
      <c r="O15" s="9"/>
      <c r="P15" s="37" t="s">
        <v>187</v>
      </c>
      <c r="Q15" s="23" t="s">
        <v>185</v>
      </c>
      <c r="R15" s="23" t="s">
        <v>179</v>
      </c>
      <c r="S15" s="69">
        <v>80</v>
      </c>
      <c r="T15" s="82">
        <v>9000</v>
      </c>
      <c r="U15" s="71">
        <f t="shared" si="0"/>
        <v>990</v>
      </c>
      <c r="V15" s="71">
        <f t="shared" si="1"/>
        <v>9990</v>
      </c>
      <c r="W15" s="24" t="s">
        <v>18</v>
      </c>
    </row>
    <row r="16" spans="1:25" ht="13.5" customHeight="1" x14ac:dyDescent="0.25">
      <c r="A16" s="15" t="s">
        <v>45</v>
      </c>
      <c r="B16" s="3" t="str">
        <f t="shared" si="2"/>
        <v>Australian Paper Reguler</v>
      </c>
      <c r="C16" s="61" t="str">
        <f>+C11</f>
        <v>AN8</v>
      </c>
      <c r="D16" s="158">
        <f t="shared" si="3"/>
        <v>80</v>
      </c>
      <c r="E16" s="159"/>
      <c r="F16" s="34">
        <f>+$G$6+60</f>
        <v>560</v>
      </c>
      <c r="G16" s="5" t="s">
        <v>17</v>
      </c>
      <c r="H16" s="34">
        <f>55*2</f>
        <v>110</v>
      </c>
      <c r="I16" s="36">
        <f>(F16*H16*D16)/1000000</f>
        <v>4.9279999999999999</v>
      </c>
      <c r="J16" s="2" t="s">
        <v>27</v>
      </c>
      <c r="K16" s="3">
        <f t="shared" si="5"/>
        <v>16280</v>
      </c>
      <c r="L16" s="4">
        <f t="shared" si="8"/>
        <v>80.22784</v>
      </c>
      <c r="M16" s="4">
        <f t="shared" si="6"/>
        <v>8.8250624000000002</v>
      </c>
      <c r="N16" s="32">
        <f>+M16+L16</f>
        <v>89.052902399999994</v>
      </c>
      <c r="O16" s="9"/>
      <c r="P16" s="37" t="s">
        <v>48</v>
      </c>
      <c r="Q16" s="152" t="s">
        <v>39</v>
      </c>
      <c r="R16" s="23" t="s">
        <v>183</v>
      </c>
      <c r="S16" s="69">
        <v>80</v>
      </c>
      <c r="T16" s="63">
        <f>22000+500</f>
        <v>22500</v>
      </c>
      <c r="U16" s="71">
        <f t="shared" si="0"/>
        <v>2475</v>
      </c>
      <c r="V16" s="71">
        <f t="shared" si="1"/>
        <v>24975</v>
      </c>
      <c r="W16" s="24" t="s">
        <v>18</v>
      </c>
    </row>
    <row r="17" spans="1:23" ht="13.5" customHeight="1" x14ac:dyDescent="0.25">
      <c r="A17" s="15" t="s">
        <v>46</v>
      </c>
      <c r="B17" s="3" t="str">
        <f t="shared" si="2"/>
        <v>Australian Paper Reguler</v>
      </c>
      <c r="C17" s="61" t="str">
        <f>+C11</f>
        <v>AN8</v>
      </c>
      <c r="D17" s="158">
        <f t="shared" si="3"/>
        <v>80</v>
      </c>
      <c r="E17" s="159"/>
      <c r="F17" s="34">
        <f>+$G$6+60</f>
        <v>560</v>
      </c>
      <c r="G17" s="5" t="s">
        <v>17</v>
      </c>
      <c r="H17" s="34">
        <v>140</v>
      </c>
      <c r="I17" s="36">
        <f>(F17*H17*D17)/1000000</f>
        <v>6.2720000000000002</v>
      </c>
      <c r="J17" s="2" t="s">
        <v>27</v>
      </c>
      <c r="K17" s="3">
        <f t="shared" si="5"/>
        <v>16280</v>
      </c>
      <c r="L17" s="4">
        <f t="shared" si="8"/>
        <v>102.10816</v>
      </c>
      <c r="M17" s="4">
        <f t="shared" si="6"/>
        <v>11.2318976</v>
      </c>
      <c r="N17" s="32">
        <f>+M17+L17</f>
        <v>113.34005759999999</v>
      </c>
      <c r="O17" s="9"/>
      <c r="P17" s="37"/>
      <c r="Q17" s="152"/>
      <c r="R17" s="23"/>
      <c r="S17" s="69"/>
      <c r="T17" s="70"/>
      <c r="U17" s="71"/>
      <c r="V17" s="71"/>
      <c r="W17" s="24"/>
    </row>
    <row r="18" spans="1:23" ht="13.5" customHeight="1" x14ac:dyDescent="0.25">
      <c r="A18" s="15" t="s">
        <v>188</v>
      </c>
      <c r="B18" s="3">
        <f t="shared" si="2"/>
        <v>0</v>
      </c>
      <c r="C18" s="61">
        <v>0</v>
      </c>
      <c r="D18" s="158">
        <f t="shared" si="3"/>
        <v>0</v>
      </c>
      <c r="E18" s="159"/>
      <c r="F18" s="34">
        <f>+G6+10</f>
        <v>510</v>
      </c>
      <c r="G18" s="5" t="s">
        <v>17</v>
      </c>
      <c r="H18" s="34">
        <v>140</v>
      </c>
      <c r="I18" s="36">
        <f t="shared" ref="I18" si="10">(F18*H18*D18)/10000</f>
        <v>0</v>
      </c>
      <c r="J18" s="2" t="s">
        <v>27</v>
      </c>
      <c r="K18" s="3">
        <f t="shared" si="5"/>
        <v>0</v>
      </c>
      <c r="L18" s="4">
        <f t="shared" si="8"/>
        <v>0</v>
      </c>
      <c r="M18" s="4">
        <f t="shared" si="6"/>
        <v>0</v>
      </c>
      <c r="N18" s="32">
        <f>+M18+L18</f>
        <v>0</v>
      </c>
      <c r="O18" s="9"/>
      <c r="P18" s="37"/>
      <c r="Q18" s="23"/>
      <c r="R18" s="23"/>
      <c r="S18" s="69"/>
      <c r="T18" s="82"/>
      <c r="U18" s="71"/>
      <c r="V18" s="71"/>
      <c r="W18" s="24"/>
    </row>
    <row r="19" spans="1:23" ht="13.5" customHeight="1" x14ac:dyDescent="0.25">
      <c r="A19" s="15" t="s">
        <v>40</v>
      </c>
      <c r="B19" s="3" t="str">
        <f t="shared" si="2"/>
        <v>Mixing</v>
      </c>
      <c r="C19" s="61" t="s">
        <v>40</v>
      </c>
      <c r="D19" s="158">
        <f t="shared" si="3"/>
        <v>0</v>
      </c>
      <c r="E19" s="159"/>
      <c r="F19" s="153"/>
      <c r="G19" s="153"/>
      <c r="H19" s="153"/>
      <c r="I19" s="152">
        <v>0</v>
      </c>
      <c r="J19" s="152" t="s">
        <v>27</v>
      </c>
      <c r="K19" s="3">
        <v>0</v>
      </c>
      <c r="L19" s="4">
        <f>(450*28000+120*8560+520*8400)/(320000+128000)+((450*28000+120*8560+520*8400)/(320000+128000)*20/100)</f>
        <v>48.201428571428572</v>
      </c>
      <c r="M19" s="4">
        <f t="shared" ref="M19" si="11">+L19*11%</f>
        <v>5.3021571428571432</v>
      </c>
      <c r="N19" s="32">
        <f>+M19+L19</f>
        <v>53.503585714285713</v>
      </c>
      <c r="O19" s="9"/>
      <c r="P19" s="37"/>
      <c r="Q19" s="152"/>
      <c r="R19" s="23"/>
      <c r="S19" s="69"/>
      <c r="T19" s="63"/>
      <c r="U19" s="71"/>
      <c r="V19" s="71"/>
      <c r="W19" s="24"/>
    </row>
    <row r="20" spans="1:23" ht="13.5" customHeight="1" x14ac:dyDescent="0.25">
      <c r="A20" s="15"/>
      <c r="B20" s="3"/>
      <c r="C20" s="61"/>
      <c r="D20" s="158"/>
      <c r="E20" s="159"/>
      <c r="F20" s="5"/>
      <c r="G20" s="5"/>
      <c r="H20" s="5"/>
      <c r="I20" s="2"/>
      <c r="J20" s="2"/>
      <c r="K20" s="3"/>
      <c r="L20" s="4"/>
      <c r="M20" s="4"/>
      <c r="N20" s="32"/>
      <c r="O20" s="9"/>
      <c r="P20" s="37"/>
      <c r="Q20" s="2"/>
      <c r="R20" s="23"/>
      <c r="S20" s="69"/>
      <c r="T20" s="69"/>
      <c r="U20" s="71"/>
      <c r="V20" s="71"/>
      <c r="W20" s="24"/>
    </row>
    <row r="21" spans="1:23" ht="13.5" customHeight="1" thickBot="1" x14ac:dyDescent="0.3">
      <c r="A21" s="169" t="s">
        <v>12</v>
      </c>
      <c r="B21" s="170"/>
      <c r="C21" s="170"/>
      <c r="D21" s="170"/>
      <c r="E21" s="170"/>
      <c r="F21" s="170"/>
      <c r="G21" s="170"/>
      <c r="H21" s="171"/>
      <c r="I21" s="126">
        <f>+SUM(I10:I20)</f>
        <v>423.04</v>
      </c>
      <c r="J21" s="125"/>
      <c r="K21" s="125"/>
      <c r="L21" s="40">
        <f>SUM(L11:L20)</f>
        <v>6935.2926285714275</v>
      </c>
      <c r="M21" s="40">
        <f>SUM(M11:M20)</f>
        <v>762.8821891428571</v>
      </c>
      <c r="N21" s="41">
        <f>SUM(N11:N20)</f>
        <v>7698.1748177142854</v>
      </c>
      <c r="O21" s="9"/>
      <c r="P21" s="37" t="s">
        <v>40</v>
      </c>
      <c r="Q21" s="23" t="s">
        <v>149</v>
      </c>
      <c r="R21" s="23" t="s">
        <v>49</v>
      </c>
      <c r="S21" s="69">
        <v>0</v>
      </c>
      <c r="T21" s="82">
        <v>10250</v>
      </c>
      <c r="U21" s="71">
        <f t="shared" ref="U21:U22" si="12">+T21*0.11</f>
        <v>1127.5</v>
      </c>
      <c r="V21" s="71">
        <f t="shared" ref="V21:V22" si="13">+U21+T21</f>
        <v>11377.5</v>
      </c>
      <c r="W21" s="24" t="s">
        <v>18</v>
      </c>
    </row>
    <row r="22" spans="1:23" ht="13.5" customHeight="1" thickTop="1" thickBo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6"/>
      <c r="O22" s="9"/>
      <c r="P22" s="37" t="s">
        <v>38</v>
      </c>
      <c r="Q22" s="152" t="s">
        <v>53</v>
      </c>
      <c r="R22" s="23" t="s">
        <v>53</v>
      </c>
      <c r="S22" s="69">
        <v>20</v>
      </c>
      <c r="T22" s="63">
        <v>13000</v>
      </c>
      <c r="U22" s="71">
        <f t="shared" si="12"/>
        <v>1430</v>
      </c>
      <c r="V22" s="71">
        <f t="shared" si="13"/>
        <v>14430</v>
      </c>
      <c r="W22" s="24" t="s">
        <v>18</v>
      </c>
    </row>
    <row r="23" spans="1:23" ht="13.5" customHeight="1" thickTop="1" x14ac:dyDescent="0.25">
      <c r="A23" s="165" t="s">
        <v>19</v>
      </c>
      <c r="B23" s="166"/>
      <c r="C23" s="166"/>
      <c r="D23" s="166"/>
      <c r="E23" s="166"/>
      <c r="F23" s="166" t="s">
        <v>9</v>
      </c>
      <c r="G23" s="166"/>
      <c r="H23" s="166"/>
      <c r="I23" s="21" t="s">
        <v>6</v>
      </c>
      <c r="J23" s="21" t="s">
        <v>10</v>
      </c>
      <c r="K23" s="21" t="s">
        <v>11</v>
      </c>
      <c r="L23" s="21" t="s">
        <v>12</v>
      </c>
      <c r="M23" s="21" t="s">
        <v>24</v>
      </c>
      <c r="N23" s="22" t="s">
        <v>25</v>
      </c>
      <c r="O23" s="9"/>
      <c r="P23" s="37" t="s">
        <v>127</v>
      </c>
      <c r="Q23" s="152" t="s">
        <v>104</v>
      </c>
      <c r="R23" s="23" t="s">
        <v>178</v>
      </c>
      <c r="S23" s="69">
        <v>15</v>
      </c>
      <c r="T23" s="84">
        <v>26000</v>
      </c>
      <c r="U23" s="71">
        <f>+T23*0.11</f>
        <v>2860</v>
      </c>
      <c r="V23" s="71">
        <f>+U23+T23</f>
        <v>28860</v>
      </c>
      <c r="W23" s="24" t="s">
        <v>18</v>
      </c>
    </row>
    <row r="24" spans="1:23" ht="13.5" customHeight="1" x14ac:dyDescent="0.25">
      <c r="A24" s="163" t="s">
        <v>169</v>
      </c>
      <c r="B24" s="164"/>
      <c r="C24" s="164"/>
      <c r="D24" s="164"/>
      <c r="E24" s="164"/>
      <c r="F24" s="164"/>
      <c r="G24" s="164"/>
      <c r="H24" s="164"/>
      <c r="I24" s="5">
        <v>1</v>
      </c>
      <c r="J24" s="2" t="s">
        <v>20</v>
      </c>
      <c r="K24" s="62">
        <v>530</v>
      </c>
      <c r="L24" s="7">
        <f>K24*I24</f>
        <v>530</v>
      </c>
      <c r="M24" s="7">
        <f>+L24*0.11</f>
        <v>58.3</v>
      </c>
      <c r="N24" s="30">
        <f>+M24+L24</f>
        <v>588.29999999999995</v>
      </c>
      <c r="O24" s="9"/>
      <c r="P24" s="37" t="s">
        <v>105</v>
      </c>
      <c r="Q24" s="23" t="s">
        <v>103</v>
      </c>
      <c r="R24" s="23" t="s">
        <v>177</v>
      </c>
      <c r="S24" s="69">
        <v>15</v>
      </c>
      <c r="T24" s="83">
        <v>25500</v>
      </c>
      <c r="U24" s="71">
        <f t="shared" ref="U24:U45" si="14">+T24*0.11</f>
        <v>2805</v>
      </c>
      <c r="V24" s="71">
        <f t="shared" ref="V24:V45" si="15">+U24+T24</f>
        <v>28305</v>
      </c>
      <c r="W24" s="24" t="s">
        <v>18</v>
      </c>
    </row>
    <row r="25" spans="1:23" ht="13.5" customHeight="1" x14ac:dyDescent="0.25">
      <c r="A25" s="163" t="s">
        <v>170</v>
      </c>
      <c r="B25" s="164"/>
      <c r="C25" s="164"/>
      <c r="D25" s="164"/>
      <c r="E25" s="164"/>
      <c r="F25" s="164"/>
      <c r="G25" s="164"/>
      <c r="H25" s="164"/>
      <c r="I25" s="5">
        <v>1</v>
      </c>
      <c r="J25" s="2" t="s">
        <v>20</v>
      </c>
      <c r="K25" s="7">
        <f>IF($I$21&lt;200,Sheet3!Q2,(Sheet3!Q2+(($I$21-200)/200*Sheet3!Q2*0.25)))</f>
        <v>676.93697903207715</v>
      </c>
      <c r="L25" s="7">
        <f>K25*I25</f>
        <v>676.93697903207715</v>
      </c>
      <c r="M25" s="7">
        <f t="shared" ref="M25:M34" si="16">+L25*0.11</f>
        <v>74.463067693528487</v>
      </c>
      <c r="N25" s="30">
        <f>+M25+L25</f>
        <v>751.40004672560565</v>
      </c>
      <c r="O25" s="9"/>
      <c r="P25" s="37" t="s">
        <v>106</v>
      </c>
      <c r="Q25" s="23" t="s">
        <v>103</v>
      </c>
      <c r="R25" s="23" t="s">
        <v>177</v>
      </c>
      <c r="S25" s="69">
        <v>20</v>
      </c>
      <c r="T25" s="82">
        <f>+$T$24</f>
        <v>25500</v>
      </c>
      <c r="U25" s="71">
        <f t="shared" si="14"/>
        <v>2805</v>
      </c>
      <c r="V25" s="71">
        <f t="shared" si="15"/>
        <v>28305</v>
      </c>
      <c r="W25" s="24" t="s">
        <v>18</v>
      </c>
    </row>
    <row r="26" spans="1:23" ht="13.5" customHeight="1" x14ac:dyDescent="0.25">
      <c r="A26" s="163" t="s">
        <v>171</v>
      </c>
      <c r="B26" s="164"/>
      <c r="C26" s="164"/>
      <c r="D26" s="164"/>
      <c r="E26" s="164"/>
      <c r="F26" s="164"/>
      <c r="G26" s="164"/>
      <c r="H26" s="164"/>
      <c r="I26" s="5">
        <v>1</v>
      </c>
      <c r="J26" s="2" t="s">
        <v>20</v>
      </c>
      <c r="K26" s="7">
        <f>+IF(AND(F11&lt;1021,H11&lt;721),VLOOKUP(F8,$Q$73:$X$103,8,FALSE),IF(AND(F11&lt;1101,H11&lt;801),VLOOKUP(F8,$Q$108:$X$138,8,FALSE),VLOOKUP(F8,$Q$143:$Y$173,9,FALSE)))</f>
        <v>0</v>
      </c>
      <c r="L26" s="7">
        <f>K26*I26</f>
        <v>0</v>
      </c>
      <c r="M26" s="7">
        <f t="shared" si="16"/>
        <v>0</v>
      </c>
      <c r="N26" s="30">
        <f t="shared" ref="N26:N34" si="17">+M26+L26</f>
        <v>0</v>
      </c>
      <c r="O26" s="9"/>
      <c r="P26" s="37" t="s">
        <v>107</v>
      </c>
      <c r="Q26" s="23" t="s">
        <v>103</v>
      </c>
      <c r="R26" s="23" t="s">
        <v>177</v>
      </c>
      <c r="S26" s="69">
        <v>25</v>
      </c>
      <c r="T26" s="82">
        <f t="shared" ref="T26:T45" si="18">+$T$24</f>
        <v>25500</v>
      </c>
      <c r="U26" s="71">
        <f t="shared" si="14"/>
        <v>2805</v>
      </c>
      <c r="V26" s="71">
        <f t="shared" si="15"/>
        <v>28305</v>
      </c>
      <c r="W26" s="24" t="s">
        <v>18</v>
      </c>
    </row>
    <row r="27" spans="1:23" ht="13.5" customHeight="1" x14ac:dyDescent="0.25">
      <c r="A27" s="163" t="s">
        <v>172</v>
      </c>
      <c r="B27" s="164"/>
      <c r="C27" s="164"/>
      <c r="D27" s="164"/>
      <c r="E27" s="164"/>
      <c r="F27" s="164"/>
      <c r="G27" s="164"/>
      <c r="H27" s="164"/>
      <c r="I27" s="5">
        <v>1</v>
      </c>
      <c r="J27" s="2" t="s">
        <v>20</v>
      </c>
      <c r="K27" s="67">
        <v>25</v>
      </c>
      <c r="L27" s="7">
        <f t="shared" ref="L27:L34" si="19">K27*I27</f>
        <v>25</v>
      </c>
      <c r="M27" s="7">
        <f t="shared" si="16"/>
        <v>2.75</v>
      </c>
      <c r="N27" s="30">
        <f t="shared" si="17"/>
        <v>27.75</v>
      </c>
      <c r="O27" s="9"/>
      <c r="P27" s="37" t="s">
        <v>108</v>
      </c>
      <c r="Q27" s="23" t="s">
        <v>103</v>
      </c>
      <c r="R27" s="23" t="s">
        <v>177</v>
      </c>
      <c r="S27" s="69">
        <v>30</v>
      </c>
      <c r="T27" s="82">
        <f t="shared" si="18"/>
        <v>25500</v>
      </c>
      <c r="U27" s="71">
        <f t="shared" si="14"/>
        <v>2805</v>
      </c>
      <c r="V27" s="71">
        <f t="shared" si="15"/>
        <v>28305</v>
      </c>
      <c r="W27" s="24" t="s">
        <v>18</v>
      </c>
    </row>
    <row r="28" spans="1:23" ht="13.5" customHeight="1" x14ac:dyDescent="0.25">
      <c r="A28" s="163" t="s">
        <v>173</v>
      </c>
      <c r="B28" s="164"/>
      <c r="C28" s="164"/>
      <c r="D28" s="164"/>
      <c r="E28" s="164"/>
      <c r="F28" s="164"/>
      <c r="G28" s="164"/>
      <c r="H28" s="164"/>
      <c r="I28" s="5">
        <v>1</v>
      </c>
      <c r="J28" s="2" t="s">
        <v>20</v>
      </c>
      <c r="K28" s="7">
        <f>IF($I$21&lt;200,Sheet3!Q3,(Sheet3!Q3+(($I$21-200)/200*Sheet3!Q3*0.25)))</f>
        <v>43.912208760606276</v>
      </c>
      <c r="L28" s="7">
        <f t="shared" si="19"/>
        <v>43.912208760606276</v>
      </c>
      <c r="M28" s="7">
        <f t="shared" si="16"/>
        <v>4.8303429636666904</v>
      </c>
      <c r="N28" s="30">
        <f t="shared" si="17"/>
        <v>48.742551724272964</v>
      </c>
      <c r="O28" s="9"/>
      <c r="P28" s="37" t="s">
        <v>109</v>
      </c>
      <c r="Q28" s="23" t="s">
        <v>103</v>
      </c>
      <c r="R28" s="23" t="s">
        <v>177</v>
      </c>
      <c r="S28" s="69">
        <v>35</v>
      </c>
      <c r="T28" s="82">
        <f t="shared" si="18"/>
        <v>25500</v>
      </c>
      <c r="U28" s="71">
        <f t="shared" si="14"/>
        <v>2805</v>
      </c>
      <c r="V28" s="71">
        <f t="shared" si="15"/>
        <v>28305</v>
      </c>
      <c r="W28" s="24" t="s">
        <v>18</v>
      </c>
    </row>
    <row r="29" spans="1:23" ht="13.5" customHeight="1" x14ac:dyDescent="0.25">
      <c r="A29" s="163" t="s">
        <v>150</v>
      </c>
      <c r="B29" s="164"/>
      <c r="C29" s="164"/>
      <c r="D29" s="164"/>
      <c r="E29" s="164"/>
      <c r="F29" s="164"/>
      <c r="G29" s="164"/>
      <c r="H29" s="164"/>
      <c r="I29" s="5">
        <v>1</v>
      </c>
      <c r="J29" s="2" t="s">
        <v>20</v>
      </c>
      <c r="K29" s="7">
        <f>IF($I$21&lt;200,Sheet3!Q4,(Sheet3!Q4+(($I$21-200)/200*Sheet3!Q4*0.25)))</f>
        <v>150.66970356627547</v>
      </c>
      <c r="L29" s="7">
        <f t="shared" si="19"/>
        <v>150.66970356627547</v>
      </c>
      <c r="M29" s="7">
        <f t="shared" si="16"/>
        <v>16.573667392290304</v>
      </c>
      <c r="N29" s="30">
        <f t="shared" si="17"/>
        <v>167.24337095856578</v>
      </c>
      <c r="O29" s="9"/>
      <c r="P29" s="37" t="s">
        <v>110</v>
      </c>
      <c r="Q29" s="23" t="s">
        <v>103</v>
      </c>
      <c r="R29" s="23" t="s">
        <v>177</v>
      </c>
      <c r="S29" s="69">
        <v>40</v>
      </c>
      <c r="T29" s="82">
        <f>+$T$24</f>
        <v>25500</v>
      </c>
      <c r="U29" s="71">
        <f t="shared" si="14"/>
        <v>2805</v>
      </c>
      <c r="V29" s="71">
        <f t="shared" si="15"/>
        <v>28305</v>
      </c>
      <c r="W29" s="24" t="s">
        <v>18</v>
      </c>
    </row>
    <row r="30" spans="1:23" ht="13.5" customHeight="1" x14ac:dyDescent="0.25">
      <c r="A30" s="163" t="s">
        <v>151</v>
      </c>
      <c r="B30" s="164"/>
      <c r="C30" s="164"/>
      <c r="D30" s="164"/>
      <c r="E30" s="164"/>
      <c r="F30" s="164"/>
      <c r="G30" s="164"/>
      <c r="H30" s="164"/>
      <c r="I30" s="5">
        <v>1</v>
      </c>
      <c r="J30" s="2" t="s">
        <v>20</v>
      </c>
      <c r="K30" s="67">
        <f>IF($I$21&lt;200,Sheet3!Q5,(Sheet3!Q5+(($I$21-200)/200*Sheet3!Q5*0.25)))</f>
        <v>100.55160477706062</v>
      </c>
      <c r="L30" s="7">
        <f t="shared" si="19"/>
        <v>100.55160477706062</v>
      </c>
      <c r="M30" s="7">
        <f t="shared" si="16"/>
        <v>11.060676525476667</v>
      </c>
      <c r="N30" s="30">
        <f t="shared" si="17"/>
        <v>111.61228130253728</v>
      </c>
      <c r="O30" s="9"/>
      <c r="P30" s="37" t="s">
        <v>111</v>
      </c>
      <c r="Q30" s="23" t="s">
        <v>103</v>
      </c>
      <c r="R30" s="23" t="s">
        <v>177</v>
      </c>
      <c r="S30" s="69">
        <v>45</v>
      </c>
      <c r="T30" s="82">
        <f t="shared" si="18"/>
        <v>25500</v>
      </c>
      <c r="U30" s="71">
        <f t="shared" si="14"/>
        <v>2805</v>
      </c>
      <c r="V30" s="71">
        <f t="shared" si="15"/>
        <v>28305</v>
      </c>
      <c r="W30" s="24" t="s">
        <v>18</v>
      </c>
    </row>
    <row r="31" spans="1:23" ht="13.5" customHeight="1" x14ac:dyDescent="0.25">
      <c r="A31" s="163" t="s">
        <v>208</v>
      </c>
      <c r="B31" s="164"/>
      <c r="C31" s="164"/>
      <c r="D31" s="164"/>
      <c r="E31" s="164"/>
      <c r="F31" s="164"/>
      <c r="G31" s="164"/>
      <c r="H31" s="164"/>
      <c r="I31" s="5">
        <v>1</v>
      </c>
      <c r="J31" s="2" t="s">
        <v>20</v>
      </c>
      <c r="K31" s="7">
        <f>IF($I$21&lt;200,Sheet3!Q7,(Sheet3!Q7+(($I$21-200)/200*Sheet3!Q7*0.25)))</f>
        <v>150.82759685686631</v>
      </c>
      <c r="L31" s="7">
        <f t="shared" ref="L31" si="20">K31*I31</f>
        <v>150.82759685686631</v>
      </c>
      <c r="M31" s="7">
        <f t="shared" ref="M31" si="21">+L31*0.11</f>
        <v>16.591035654255293</v>
      </c>
      <c r="N31" s="30">
        <f t="shared" ref="N31" si="22">+M31+L31</f>
        <v>167.41863251112159</v>
      </c>
      <c r="O31" s="9"/>
      <c r="P31" s="37" t="s">
        <v>112</v>
      </c>
      <c r="Q31" s="23" t="s">
        <v>103</v>
      </c>
      <c r="R31" s="23" t="s">
        <v>177</v>
      </c>
      <c r="S31" s="69">
        <v>50</v>
      </c>
      <c r="T31" s="82">
        <f t="shared" si="18"/>
        <v>25500</v>
      </c>
      <c r="U31" s="71">
        <f t="shared" si="14"/>
        <v>2805</v>
      </c>
      <c r="V31" s="71">
        <f t="shared" si="15"/>
        <v>28305</v>
      </c>
      <c r="W31" s="24" t="s">
        <v>18</v>
      </c>
    </row>
    <row r="32" spans="1:23" ht="13.5" customHeight="1" x14ac:dyDescent="0.25">
      <c r="A32" s="163" t="s">
        <v>152</v>
      </c>
      <c r="B32" s="164"/>
      <c r="C32" s="164"/>
      <c r="D32" s="164"/>
      <c r="E32" s="164"/>
      <c r="F32" s="164"/>
      <c r="G32" s="164"/>
      <c r="H32" s="164"/>
      <c r="I32" s="5">
        <v>1</v>
      </c>
      <c r="J32" s="2" t="s">
        <v>20</v>
      </c>
      <c r="K32" s="7">
        <v>32</v>
      </c>
      <c r="L32" s="7">
        <f t="shared" si="19"/>
        <v>32</v>
      </c>
      <c r="M32" s="7">
        <f t="shared" si="16"/>
        <v>3.52</v>
      </c>
      <c r="N32" s="30">
        <f t="shared" si="17"/>
        <v>35.520000000000003</v>
      </c>
      <c r="O32" s="9"/>
      <c r="P32" s="37" t="s">
        <v>113</v>
      </c>
      <c r="Q32" s="23" t="s">
        <v>103</v>
      </c>
      <c r="R32" s="23" t="s">
        <v>177</v>
      </c>
      <c r="S32" s="69">
        <v>55</v>
      </c>
      <c r="T32" s="82">
        <f t="shared" si="18"/>
        <v>25500</v>
      </c>
      <c r="U32" s="71">
        <f t="shared" si="14"/>
        <v>2805</v>
      </c>
      <c r="V32" s="71">
        <f t="shared" si="15"/>
        <v>28305</v>
      </c>
      <c r="W32" s="24" t="s">
        <v>18</v>
      </c>
    </row>
    <row r="33" spans="1:27" ht="13.5" customHeight="1" x14ac:dyDescent="0.25">
      <c r="A33" s="163" t="s">
        <v>174</v>
      </c>
      <c r="B33" s="164"/>
      <c r="C33" s="164"/>
      <c r="D33" s="164"/>
      <c r="E33" s="164"/>
      <c r="F33" s="164"/>
      <c r="G33" s="164"/>
      <c r="H33" s="164"/>
      <c r="I33" s="5">
        <v>1</v>
      </c>
      <c r="J33" s="2" t="s">
        <v>20</v>
      </c>
      <c r="K33" s="62">
        <v>200</v>
      </c>
      <c r="L33" s="7">
        <f t="shared" si="19"/>
        <v>200</v>
      </c>
      <c r="M33" s="7">
        <f t="shared" si="16"/>
        <v>22</v>
      </c>
      <c r="N33" s="30">
        <f t="shared" si="17"/>
        <v>222</v>
      </c>
      <c r="O33" s="9"/>
      <c r="P33" s="37" t="s">
        <v>114</v>
      </c>
      <c r="Q33" s="23" t="s">
        <v>103</v>
      </c>
      <c r="R33" s="23" t="s">
        <v>177</v>
      </c>
      <c r="S33" s="69">
        <v>60</v>
      </c>
      <c r="T33" s="82">
        <f t="shared" si="18"/>
        <v>25500</v>
      </c>
      <c r="U33" s="71">
        <f t="shared" si="14"/>
        <v>2805</v>
      </c>
      <c r="V33" s="71">
        <f t="shared" si="15"/>
        <v>28305</v>
      </c>
      <c r="W33" s="24" t="s">
        <v>18</v>
      </c>
    </row>
    <row r="34" spans="1:27" ht="13.5" customHeight="1" x14ac:dyDescent="0.25">
      <c r="A34" s="163" t="s">
        <v>175</v>
      </c>
      <c r="B34" s="164"/>
      <c r="C34" s="164"/>
      <c r="D34" s="164"/>
      <c r="E34" s="164"/>
      <c r="F34" s="164"/>
      <c r="G34" s="164"/>
      <c r="H34" s="164"/>
      <c r="I34" s="5">
        <v>1</v>
      </c>
      <c r="J34" s="2" t="s">
        <v>20</v>
      </c>
      <c r="K34" s="62">
        <v>65</v>
      </c>
      <c r="L34" s="7">
        <f t="shared" si="19"/>
        <v>65</v>
      </c>
      <c r="M34" s="7">
        <f t="shared" si="16"/>
        <v>7.15</v>
      </c>
      <c r="N34" s="30">
        <f t="shared" si="17"/>
        <v>72.150000000000006</v>
      </c>
      <c r="O34" s="9"/>
      <c r="P34" s="37" t="s">
        <v>115</v>
      </c>
      <c r="Q34" s="23" t="s">
        <v>103</v>
      </c>
      <c r="R34" s="23" t="s">
        <v>177</v>
      </c>
      <c r="S34" s="69">
        <v>65</v>
      </c>
      <c r="T34" s="82">
        <f t="shared" si="18"/>
        <v>25500</v>
      </c>
      <c r="U34" s="71">
        <f t="shared" si="14"/>
        <v>2805</v>
      </c>
      <c r="V34" s="71">
        <f t="shared" si="15"/>
        <v>28305</v>
      </c>
      <c r="W34" s="24" t="s">
        <v>18</v>
      </c>
    </row>
    <row r="35" spans="1:27" ht="13.5" customHeight="1" x14ac:dyDescent="0.25">
      <c r="A35" s="167" t="s">
        <v>12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8">
        <f>SUM(L24:L34)</f>
        <v>1974.8980929928857</v>
      </c>
      <c r="M35" s="8">
        <f>SUM(M24:M34)</f>
        <v>217.23879022921744</v>
      </c>
      <c r="N35" s="31">
        <f>SUM(N24:N34)</f>
        <v>2192.1368832221033</v>
      </c>
      <c r="O35" s="6"/>
      <c r="P35" s="37" t="s">
        <v>116</v>
      </c>
      <c r="Q35" s="23" t="s">
        <v>103</v>
      </c>
      <c r="R35" s="23" t="s">
        <v>177</v>
      </c>
      <c r="S35" s="69">
        <v>70</v>
      </c>
      <c r="T35" s="82">
        <f t="shared" si="18"/>
        <v>25500</v>
      </c>
      <c r="U35" s="71">
        <f t="shared" si="14"/>
        <v>2805</v>
      </c>
      <c r="V35" s="71">
        <f t="shared" si="15"/>
        <v>28305</v>
      </c>
      <c r="W35" s="24" t="s">
        <v>18</v>
      </c>
      <c r="AA35" s="18"/>
    </row>
    <row r="36" spans="1:27" ht="13.5" customHeight="1" x14ac:dyDescent="0.25">
      <c r="A36" s="161" t="s">
        <v>89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03">
        <f>L35+L21</f>
        <v>8910.1907215643132</v>
      </c>
      <c r="M36" s="110"/>
      <c r="N36" s="111">
        <f t="shared" ref="N36:N41" si="23">(L36*11%)+L36</f>
        <v>9890.3117009363868</v>
      </c>
      <c r="P36" s="37" t="s">
        <v>117</v>
      </c>
      <c r="Q36" s="23" t="s">
        <v>103</v>
      </c>
      <c r="R36" s="23" t="s">
        <v>177</v>
      </c>
      <c r="S36" s="69">
        <v>75</v>
      </c>
      <c r="T36" s="82">
        <f t="shared" si="18"/>
        <v>25500</v>
      </c>
      <c r="U36" s="71">
        <f t="shared" si="14"/>
        <v>2805</v>
      </c>
      <c r="V36" s="71">
        <f t="shared" si="15"/>
        <v>28305</v>
      </c>
      <c r="W36" s="24" t="s">
        <v>18</v>
      </c>
    </row>
    <row r="37" spans="1:27" ht="13.5" customHeight="1" x14ac:dyDescent="0.25">
      <c r="A37" s="167" t="s">
        <v>91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05">
        <f>+L40-L36</f>
        <v>-2910.1907215643132</v>
      </c>
      <c r="M37" s="74"/>
      <c r="N37" s="114">
        <f t="shared" si="23"/>
        <v>-3230.3117009363878</v>
      </c>
      <c r="O37" s="11"/>
      <c r="P37" s="37" t="s">
        <v>118</v>
      </c>
      <c r="Q37" s="23" t="s">
        <v>103</v>
      </c>
      <c r="R37" s="23" t="s">
        <v>177</v>
      </c>
      <c r="S37" s="69">
        <v>80</v>
      </c>
      <c r="T37" s="82">
        <f t="shared" si="18"/>
        <v>25500</v>
      </c>
      <c r="U37" s="71">
        <f t="shared" si="14"/>
        <v>2805</v>
      </c>
      <c r="V37" s="71">
        <f t="shared" si="15"/>
        <v>28305</v>
      </c>
      <c r="W37" s="24" t="s">
        <v>18</v>
      </c>
    </row>
    <row r="38" spans="1:27" ht="13.5" customHeight="1" x14ac:dyDescent="0.25">
      <c r="A38" s="161" t="s">
        <v>88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04">
        <f>+IF(L37&lt;=300,L36+L37,IF(L37&lt;=430,L36+300,IF(L37&gt;430,L36+L37*70/100,0)))</f>
        <v>6000</v>
      </c>
      <c r="M38" s="110"/>
      <c r="N38" s="111">
        <f t="shared" si="23"/>
        <v>6660</v>
      </c>
      <c r="O38" s="12"/>
      <c r="P38" s="37" t="s">
        <v>119</v>
      </c>
      <c r="Q38" s="23" t="s">
        <v>103</v>
      </c>
      <c r="R38" s="23" t="s">
        <v>177</v>
      </c>
      <c r="S38" s="69">
        <v>85</v>
      </c>
      <c r="T38" s="82">
        <f t="shared" si="18"/>
        <v>25500</v>
      </c>
      <c r="U38" s="71">
        <f t="shared" si="14"/>
        <v>2805</v>
      </c>
      <c r="V38" s="71">
        <f t="shared" si="15"/>
        <v>28305</v>
      </c>
      <c r="W38" s="24" t="s">
        <v>18</v>
      </c>
    </row>
    <row r="39" spans="1:27" ht="13.5" customHeight="1" x14ac:dyDescent="0.25">
      <c r="A39" s="167" t="s">
        <v>197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75">
        <f>+L38-L36</f>
        <v>-2910.1907215643132</v>
      </c>
      <c r="M39" s="74"/>
      <c r="N39" s="114">
        <f t="shared" si="23"/>
        <v>-3230.3117009363878</v>
      </c>
      <c r="O39" s="12"/>
      <c r="P39" s="37" t="s">
        <v>120</v>
      </c>
      <c r="Q39" s="23" t="s">
        <v>103</v>
      </c>
      <c r="R39" s="23" t="s">
        <v>177</v>
      </c>
      <c r="S39" s="69">
        <v>90</v>
      </c>
      <c r="T39" s="82">
        <f t="shared" si="18"/>
        <v>25500</v>
      </c>
      <c r="U39" s="71">
        <f t="shared" si="14"/>
        <v>2805</v>
      </c>
      <c r="V39" s="71">
        <f t="shared" si="15"/>
        <v>28305</v>
      </c>
      <c r="W39" s="24" t="s">
        <v>18</v>
      </c>
    </row>
    <row r="40" spans="1:27" ht="13.5" customHeight="1" x14ac:dyDescent="0.25">
      <c r="A40" s="161" t="s">
        <v>90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07">
        <v>6000</v>
      </c>
      <c r="M40" s="113"/>
      <c r="N40" s="111">
        <f t="shared" si="23"/>
        <v>6660</v>
      </c>
      <c r="O40" s="12"/>
      <c r="P40" s="37" t="s">
        <v>121</v>
      </c>
      <c r="Q40" s="23" t="s">
        <v>103</v>
      </c>
      <c r="R40" s="23" t="s">
        <v>177</v>
      </c>
      <c r="S40" s="69">
        <v>95</v>
      </c>
      <c r="T40" s="82">
        <f t="shared" si="18"/>
        <v>25500</v>
      </c>
      <c r="U40" s="71">
        <f t="shared" si="14"/>
        <v>2805</v>
      </c>
      <c r="V40" s="71">
        <f t="shared" si="15"/>
        <v>28305</v>
      </c>
      <c r="W40" s="24" t="s">
        <v>18</v>
      </c>
    </row>
    <row r="41" spans="1:27" ht="13.5" customHeight="1" x14ac:dyDescent="0.25">
      <c r="A41" s="167" t="s">
        <v>198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06">
        <f>+L40-L38</f>
        <v>0</v>
      </c>
      <c r="M41" s="76"/>
      <c r="N41" s="114">
        <f t="shared" si="23"/>
        <v>0</v>
      </c>
      <c r="O41" s="12"/>
      <c r="P41" s="37" t="s">
        <v>122</v>
      </c>
      <c r="Q41" s="23" t="s">
        <v>103</v>
      </c>
      <c r="R41" s="23" t="s">
        <v>177</v>
      </c>
      <c r="S41" s="69">
        <v>100</v>
      </c>
      <c r="T41" s="82">
        <f t="shared" si="18"/>
        <v>25500</v>
      </c>
      <c r="U41" s="71">
        <f t="shared" si="14"/>
        <v>2805</v>
      </c>
      <c r="V41" s="71">
        <f t="shared" si="15"/>
        <v>28305</v>
      </c>
      <c r="W41" s="24" t="s">
        <v>18</v>
      </c>
    </row>
    <row r="42" spans="1:27" ht="13.5" customHeight="1" x14ac:dyDescent="0.25">
      <c r="A42" s="161" t="s">
        <v>23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07">
        <v>0</v>
      </c>
      <c r="M42" s="112"/>
      <c r="N42" s="111">
        <f t="shared" ref="N42" si="24">(L42*11%)+L42</f>
        <v>0</v>
      </c>
      <c r="O42" s="12"/>
      <c r="P42" s="37" t="s">
        <v>123</v>
      </c>
      <c r="Q42" s="23" t="s">
        <v>103</v>
      </c>
      <c r="R42" s="23" t="s">
        <v>177</v>
      </c>
      <c r="S42" s="69">
        <v>105</v>
      </c>
      <c r="T42" s="82">
        <f t="shared" si="18"/>
        <v>25500</v>
      </c>
      <c r="U42" s="71">
        <f t="shared" si="14"/>
        <v>2805</v>
      </c>
      <c r="V42" s="71">
        <f t="shared" si="15"/>
        <v>28305</v>
      </c>
      <c r="W42" s="24" t="s">
        <v>18</v>
      </c>
    </row>
    <row r="43" spans="1:27" ht="13.5" customHeight="1" x14ac:dyDescent="0.25">
      <c r="A43" s="167" t="s">
        <v>37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77">
        <f>+L42+L40</f>
        <v>6000</v>
      </c>
      <c r="M43" s="75"/>
      <c r="N43" s="80">
        <f>(L43*11%)+L43</f>
        <v>6660</v>
      </c>
      <c r="O43" s="12"/>
      <c r="P43" s="37" t="s">
        <v>124</v>
      </c>
      <c r="Q43" s="23" t="s">
        <v>103</v>
      </c>
      <c r="R43" s="23" t="s">
        <v>177</v>
      </c>
      <c r="S43" s="69">
        <v>110</v>
      </c>
      <c r="T43" s="82">
        <f t="shared" si="18"/>
        <v>25500</v>
      </c>
      <c r="U43" s="71">
        <f t="shared" si="14"/>
        <v>2805</v>
      </c>
      <c r="V43" s="71">
        <f t="shared" si="15"/>
        <v>28305</v>
      </c>
      <c r="W43" s="24" t="s">
        <v>18</v>
      </c>
    </row>
    <row r="44" spans="1:27" x14ac:dyDescent="0.25">
      <c r="A44" s="161" t="s">
        <v>199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08">
        <f>+L39/L36</f>
        <v>-0.32661374066001891</v>
      </c>
      <c r="M44" s="104"/>
      <c r="N44" s="109">
        <f>+N39/N36</f>
        <v>-0.32661374066001891</v>
      </c>
      <c r="O44" s="12"/>
      <c r="P44" s="37" t="s">
        <v>125</v>
      </c>
      <c r="Q44" s="23" t="s">
        <v>103</v>
      </c>
      <c r="R44" s="23" t="s">
        <v>177</v>
      </c>
      <c r="S44" s="69">
        <v>115</v>
      </c>
      <c r="T44" s="82">
        <f t="shared" si="18"/>
        <v>25500</v>
      </c>
      <c r="U44" s="71">
        <f t="shared" si="14"/>
        <v>2805</v>
      </c>
      <c r="V44" s="71">
        <f t="shared" si="15"/>
        <v>28305</v>
      </c>
      <c r="W44" s="24" t="s">
        <v>18</v>
      </c>
    </row>
    <row r="45" spans="1:27" ht="15.75" thickBot="1" x14ac:dyDescent="0.3">
      <c r="A45" s="172" t="s">
        <v>200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78">
        <f>+L41/L38</f>
        <v>0</v>
      </c>
      <c r="M45" s="79"/>
      <c r="N45" s="81">
        <f>+N41/N38</f>
        <v>0</v>
      </c>
      <c r="O45" s="12"/>
      <c r="P45" s="37" t="s">
        <v>126</v>
      </c>
      <c r="Q45" s="23" t="s">
        <v>103</v>
      </c>
      <c r="R45" s="23" t="s">
        <v>177</v>
      </c>
      <c r="S45" s="69">
        <v>120</v>
      </c>
      <c r="T45" s="82">
        <f t="shared" si="18"/>
        <v>25500</v>
      </c>
      <c r="U45" s="71">
        <f t="shared" si="14"/>
        <v>2805</v>
      </c>
      <c r="V45" s="71">
        <f t="shared" si="15"/>
        <v>28305</v>
      </c>
      <c r="W45" s="24" t="s">
        <v>18</v>
      </c>
    </row>
    <row r="46" spans="1:27" ht="15.75" thickTop="1" x14ac:dyDescent="0.25">
      <c r="F46"/>
      <c r="G46"/>
      <c r="H46"/>
      <c r="O46" s="12"/>
      <c r="P46" s="37" t="s">
        <v>128</v>
      </c>
      <c r="Q46" s="152" t="s">
        <v>104</v>
      </c>
      <c r="R46" s="23" t="s">
        <v>178</v>
      </c>
      <c r="S46" s="69">
        <v>20</v>
      </c>
      <c r="T46" s="63">
        <f>+$T$23</f>
        <v>26000</v>
      </c>
      <c r="U46" s="71">
        <f t="shared" ref="U46:U66" si="25">+T46*0.11</f>
        <v>2860</v>
      </c>
      <c r="V46" s="71">
        <f t="shared" ref="V46:V66" si="26">+U46+T46</f>
        <v>28860</v>
      </c>
      <c r="W46" s="24" t="s">
        <v>18</v>
      </c>
    </row>
    <row r="47" spans="1:27" x14ac:dyDescent="0.25">
      <c r="O47" s="12"/>
      <c r="P47" s="37" t="s">
        <v>129</v>
      </c>
      <c r="Q47" s="152" t="s">
        <v>104</v>
      </c>
      <c r="R47" s="23" t="s">
        <v>178</v>
      </c>
      <c r="S47" s="69">
        <v>25</v>
      </c>
      <c r="T47" s="63">
        <f t="shared" ref="T47:T66" si="27">+$T$23</f>
        <v>26000</v>
      </c>
      <c r="U47" s="71">
        <f t="shared" si="25"/>
        <v>2860</v>
      </c>
      <c r="V47" s="71">
        <f t="shared" si="26"/>
        <v>28860</v>
      </c>
      <c r="W47" s="24" t="s">
        <v>18</v>
      </c>
    </row>
    <row r="48" spans="1:27" x14ac:dyDescent="0.25">
      <c r="L48" s="66"/>
      <c r="O48" s="6"/>
      <c r="P48" s="37" t="s">
        <v>130</v>
      </c>
      <c r="Q48" s="152" t="s">
        <v>104</v>
      </c>
      <c r="R48" s="23" t="s">
        <v>178</v>
      </c>
      <c r="S48" s="69">
        <v>30</v>
      </c>
      <c r="T48" s="63">
        <f t="shared" si="27"/>
        <v>26000</v>
      </c>
      <c r="U48" s="71">
        <f t="shared" si="25"/>
        <v>2860</v>
      </c>
      <c r="V48" s="71">
        <f t="shared" si="26"/>
        <v>28860</v>
      </c>
      <c r="W48" s="24" t="s">
        <v>18</v>
      </c>
    </row>
    <row r="49" spans="15:23" x14ac:dyDescent="0.25">
      <c r="O49" s="98"/>
      <c r="P49" s="37" t="s">
        <v>131</v>
      </c>
      <c r="Q49" s="152" t="s">
        <v>104</v>
      </c>
      <c r="R49" s="23" t="s">
        <v>178</v>
      </c>
      <c r="S49" s="69">
        <v>35</v>
      </c>
      <c r="T49" s="63">
        <f t="shared" si="27"/>
        <v>26000</v>
      </c>
      <c r="U49" s="71">
        <f t="shared" si="25"/>
        <v>2860</v>
      </c>
      <c r="V49" s="71">
        <f t="shared" si="26"/>
        <v>28860</v>
      </c>
      <c r="W49" s="24" t="s">
        <v>18</v>
      </c>
    </row>
    <row r="50" spans="15:23" x14ac:dyDescent="0.25">
      <c r="O50" s="99"/>
      <c r="P50" s="37" t="s">
        <v>132</v>
      </c>
      <c r="Q50" s="152" t="s">
        <v>104</v>
      </c>
      <c r="R50" s="23" t="s">
        <v>178</v>
      </c>
      <c r="S50" s="69">
        <v>40</v>
      </c>
      <c r="T50" s="63">
        <f t="shared" si="27"/>
        <v>26000</v>
      </c>
      <c r="U50" s="71">
        <f t="shared" si="25"/>
        <v>2860</v>
      </c>
      <c r="V50" s="71">
        <f t="shared" si="26"/>
        <v>28860</v>
      </c>
      <c r="W50" s="24" t="s">
        <v>18</v>
      </c>
    </row>
    <row r="51" spans="15:23" x14ac:dyDescent="0.25">
      <c r="O51" s="98"/>
      <c r="P51" s="37" t="s">
        <v>133</v>
      </c>
      <c r="Q51" s="152" t="s">
        <v>104</v>
      </c>
      <c r="R51" s="23" t="s">
        <v>178</v>
      </c>
      <c r="S51" s="69">
        <v>45</v>
      </c>
      <c r="T51" s="63">
        <f t="shared" si="27"/>
        <v>26000</v>
      </c>
      <c r="U51" s="71">
        <f t="shared" si="25"/>
        <v>2860</v>
      </c>
      <c r="V51" s="71">
        <f t="shared" si="26"/>
        <v>28860</v>
      </c>
      <c r="W51" s="24" t="s">
        <v>18</v>
      </c>
    </row>
    <row r="52" spans="15:23" x14ac:dyDescent="0.25">
      <c r="O52" s="98"/>
      <c r="P52" s="37" t="s">
        <v>134</v>
      </c>
      <c r="Q52" s="152" t="s">
        <v>104</v>
      </c>
      <c r="R52" s="23" t="s">
        <v>178</v>
      </c>
      <c r="S52" s="69">
        <v>50</v>
      </c>
      <c r="T52" s="63">
        <f t="shared" si="27"/>
        <v>26000</v>
      </c>
      <c r="U52" s="71">
        <f t="shared" si="25"/>
        <v>2860</v>
      </c>
      <c r="V52" s="71">
        <f t="shared" si="26"/>
        <v>28860</v>
      </c>
      <c r="W52" s="24" t="s">
        <v>18</v>
      </c>
    </row>
    <row r="53" spans="15:23" x14ac:dyDescent="0.25">
      <c r="O53" s="100"/>
      <c r="P53" s="37" t="s">
        <v>135</v>
      </c>
      <c r="Q53" s="152" t="s">
        <v>104</v>
      </c>
      <c r="R53" s="23" t="s">
        <v>178</v>
      </c>
      <c r="S53" s="69">
        <v>55</v>
      </c>
      <c r="T53" s="63">
        <f t="shared" si="27"/>
        <v>26000</v>
      </c>
      <c r="U53" s="71">
        <f t="shared" si="25"/>
        <v>2860</v>
      </c>
      <c r="V53" s="71">
        <f t="shared" si="26"/>
        <v>28860</v>
      </c>
      <c r="W53" s="24" t="s">
        <v>18</v>
      </c>
    </row>
    <row r="54" spans="15:23" x14ac:dyDescent="0.25">
      <c r="O54" s="98"/>
      <c r="P54" s="37" t="s">
        <v>136</v>
      </c>
      <c r="Q54" s="152" t="s">
        <v>104</v>
      </c>
      <c r="R54" s="23" t="s">
        <v>178</v>
      </c>
      <c r="S54" s="69">
        <v>60</v>
      </c>
      <c r="T54" s="63">
        <f t="shared" si="27"/>
        <v>26000</v>
      </c>
      <c r="U54" s="71">
        <f t="shared" si="25"/>
        <v>2860</v>
      </c>
      <c r="V54" s="71">
        <f t="shared" si="26"/>
        <v>28860</v>
      </c>
      <c r="W54" s="24" t="s">
        <v>18</v>
      </c>
    </row>
    <row r="55" spans="15:23" x14ac:dyDescent="0.25">
      <c r="O55" s="101"/>
      <c r="P55" s="37" t="s">
        <v>137</v>
      </c>
      <c r="Q55" s="152" t="s">
        <v>104</v>
      </c>
      <c r="R55" s="23" t="s">
        <v>178</v>
      </c>
      <c r="S55" s="69">
        <v>65</v>
      </c>
      <c r="T55" s="63">
        <f t="shared" si="27"/>
        <v>26000</v>
      </c>
      <c r="U55" s="71">
        <f t="shared" si="25"/>
        <v>2860</v>
      </c>
      <c r="V55" s="71">
        <f t="shared" si="26"/>
        <v>28860</v>
      </c>
      <c r="W55" s="24" t="s">
        <v>18</v>
      </c>
    </row>
    <row r="56" spans="15:23" x14ac:dyDescent="0.25">
      <c r="P56" s="37" t="s">
        <v>138</v>
      </c>
      <c r="Q56" s="152" t="s">
        <v>104</v>
      </c>
      <c r="R56" s="23" t="s">
        <v>178</v>
      </c>
      <c r="S56" s="69">
        <v>70</v>
      </c>
      <c r="T56" s="63">
        <f t="shared" si="27"/>
        <v>26000</v>
      </c>
      <c r="U56" s="71">
        <f t="shared" si="25"/>
        <v>2860</v>
      </c>
      <c r="V56" s="71">
        <f t="shared" si="26"/>
        <v>28860</v>
      </c>
      <c r="W56" s="24" t="s">
        <v>18</v>
      </c>
    </row>
    <row r="57" spans="15:23" x14ac:dyDescent="0.25">
      <c r="P57" s="37" t="s">
        <v>139</v>
      </c>
      <c r="Q57" s="152" t="s">
        <v>104</v>
      </c>
      <c r="R57" s="23" t="s">
        <v>178</v>
      </c>
      <c r="S57" s="69">
        <v>75</v>
      </c>
      <c r="T57" s="63">
        <f t="shared" si="27"/>
        <v>26000</v>
      </c>
      <c r="U57" s="71">
        <f t="shared" si="25"/>
        <v>2860</v>
      </c>
      <c r="V57" s="71">
        <f t="shared" si="26"/>
        <v>28860</v>
      </c>
      <c r="W57" s="24" t="s">
        <v>18</v>
      </c>
    </row>
    <row r="58" spans="15:23" x14ac:dyDescent="0.25">
      <c r="P58" s="37" t="s">
        <v>140</v>
      </c>
      <c r="Q58" s="152" t="s">
        <v>104</v>
      </c>
      <c r="R58" s="23" t="s">
        <v>178</v>
      </c>
      <c r="S58" s="69">
        <v>80</v>
      </c>
      <c r="T58" s="63">
        <f t="shared" si="27"/>
        <v>26000</v>
      </c>
      <c r="U58" s="71">
        <f t="shared" si="25"/>
        <v>2860</v>
      </c>
      <c r="V58" s="71">
        <f t="shared" si="26"/>
        <v>28860</v>
      </c>
      <c r="W58" s="24" t="s">
        <v>18</v>
      </c>
    </row>
    <row r="59" spans="15:23" x14ac:dyDescent="0.25">
      <c r="P59" s="37" t="s">
        <v>141</v>
      </c>
      <c r="Q59" s="152" t="s">
        <v>104</v>
      </c>
      <c r="R59" s="23" t="s">
        <v>178</v>
      </c>
      <c r="S59" s="69">
        <v>85</v>
      </c>
      <c r="T59" s="63">
        <f t="shared" si="27"/>
        <v>26000</v>
      </c>
      <c r="U59" s="71">
        <f t="shared" si="25"/>
        <v>2860</v>
      </c>
      <c r="V59" s="71">
        <f t="shared" si="26"/>
        <v>28860</v>
      </c>
      <c r="W59" s="24" t="s">
        <v>18</v>
      </c>
    </row>
    <row r="60" spans="15:23" x14ac:dyDescent="0.25">
      <c r="P60" s="37" t="s">
        <v>142</v>
      </c>
      <c r="Q60" s="152" t="s">
        <v>104</v>
      </c>
      <c r="R60" s="23" t="s">
        <v>178</v>
      </c>
      <c r="S60" s="69">
        <v>90</v>
      </c>
      <c r="T60" s="63">
        <f t="shared" si="27"/>
        <v>26000</v>
      </c>
      <c r="U60" s="71">
        <f t="shared" si="25"/>
        <v>2860</v>
      </c>
      <c r="V60" s="71">
        <f t="shared" si="26"/>
        <v>28860</v>
      </c>
      <c r="W60" s="24" t="s">
        <v>18</v>
      </c>
    </row>
    <row r="61" spans="15:23" x14ac:dyDescent="0.25">
      <c r="P61" s="37" t="s">
        <v>143</v>
      </c>
      <c r="Q61" s="152" t="s">
        <v>104</v>
      </c>
      <c r="R61" s="23" t="s">
        <v>178</v>
      </c>
      <c r="S61" s="69">
        <v>95</v>
      </c>
      <c r="T61" s="63">
        <f t="shared" si="27"/>
        <v>26000</v>
      </c>
      <c r="U61" s="71">
        <f t="shared" si="25"/>
        <v>2860</v>
      </c>
      <c r="V61" s="71">
        <f t="shared" si="26"/>
        <v>28860</v>
      </c>
      <c r="W61" s="24" t="s">
        <v>18</v>
      </c>
    </row>
    <row r="62" spans="15:23" x14ac:dyDescent="0.25">
      <c r="P62" s="37" t="s">
        <v>144</v>
      </c>
      <c r="Q62" s="152" t="s">
        <v>104</v>
      </c>
      <c r="R62" s="23" t="s">
        <v>178</v>
      </c>
      <c r="S62" s="69">
        <v>100</v>
      </c>
      <c r="T62" s="63">
        <f t="shared" si="27"/>
        <v>26000</v>
      </c>
      <c r="U62" s="71">
        <f t="shared" si="25"/>
        <v>2860</v>
      </c>
      <c r="V62" s="71">
        <f t="shared" si="26"/>
        <v>28860</v>
      </c>
      <c r="W62" s="24" t="s">
        <v>18</v>
      </c>
    </row>
    <row r="63" spans="15:23" x14ac:dyDescent="0.25">
      <c r="P63" s="37" t="s">
        <v>145</v>
      </c>
      <c r="Q63" s="152" t="s">
        <v>104</v>
      </c>
      <c r="R63" s="23" t="s">
        <v>178</v>
      </c>
      <c r="S63" s="69">
        <v>105</v>
      </c>
      <c r="T63" s="63">
        <f t="shared" si="27"/>
        <v>26000</v>
      </c>
      <c r="U63" s="71">
        <f t="shared" si="25"/>
        <v>2860</v>
      </c>
      <c r="V63" s="71">
        <f t="shared" si="26"/>
        <v>28860</v>
      </c>
      <c r="W63" s="24" t="s">
        <v>18</v>
      </c>
    </row>
    <row r="64" spans="15:23" x14ac:dyDescent="0.25">
      <c r="P64" s="37" t="s">
        <v>146</v>
      </c>
      <c r="Q64" s="152" t="s">
        <v>104</v>
      </c>
      <c r="R64" s="23" t="s">
        <v>178</v>
      </c>
      <c r="S64" s="69">
        <v>110</v>
      </c>
      <c r="T64" s="63">
        <f t="shared" si="27"/>
        <v>26000</v>
      </c>
      <c r="U64" s="71">
        <f t="shared" si="25"/>
        <v>2860</v>
      </c>
      <c r="V64" s="71">
        <f t="shared" si="26"/>
        <v>28860</v>
      </c>
      <c r="W64" s="24" t="s">
        <v>18</v>
      </c>
    </row>
    <row r="65" spans="16:24" x14ac:dyDescent="0.25">
      <c r="P65" s="37" t="s">
        <v>147</v>
      </c>
      <c r="Q65" s="152" t="s">
        <v>104</v>
      </c>
      <c r="R65" s="23" t="s">
        <v>178</v>
      </c>
      <c r="S65" s="69">
        <v>115</v>
      </c>
      <c r="T65" s="63">
        <f t="shared" si="27"/>
        <v>26000</v>
      </c>
      <c r="U65" s="71">
        <f t="shared" si="25"/>
        <v>2860</v>
      </c>
      <c r="V65" s="71">
        <f t="shared" si="26"/>
        <v>28860</v>
      </c>
      <c r="W65" s="24" t="s">
        <v>18</v>
      </c>
    </row>
    <row r="66" spans="16:24" x14ac:dyDescent="0.25">
      <c r="P66" s="37" t="s">
        <v>148</v>
      </c>
      <c r="Q66" s="152" t="s">
        <v>104</v>
      </c>
      <c r="R66" s="23" t="s">
        <v>178</v>
      </c>
      <c r="S66" s="69">
        <v>120</v>
      </c>
      <c r="T66" s="63">
        <f t="shared" si="27"/>
        <v>26000</v>
      </c>
      <c r="U66" s="71">
        <f t="shared" si="25"/>
        <v>2860</v>
      </c>
      <c r="V66" s="71">
        <f t="shared" si="26"/>
        <v>28860</v>
      </c>
      <c r="W66" s="24" t="s">
        <v>18</v>
      </c>
    </row>
    <row r="67" spans="16:24" x14ac:dyDescent="0.25">
      <c r="P67" s="37"/>
      <c r="Q67" s="152"/>
      <c r="R67" s="23"/>
      <c r="S67" s="69"/>
      <c r="T67" s="63"/>
      <c r="U67" s="71"/>
      <c r="V67" s="71"/>
      <c r="W67" s="24"/>
    </row>
    <row r="68" spans="16:24" x14ac:dyDescent="0.25">
      <c r="P68" s="37"/>
      <c r="Q68" s="2"/>
      <c r="R68" s="23"/>
      <c r="S68" s="69"/>
      <c r="T68" s="63"/>
      <c r="U68" s="71"/>
      <c r="V68" s="71"/>
      <c r="W68" s="24"/>
    </row>
    <row r="69" spans="16:24" ht="15.75" thickBot="1" x14ac:dyDescent="0.3">
      <c r="P69" s="38">
        <v>0</v>
      </c>
      <c r="Q69" s="26"/>
      <c r="R69" s="25"/>
      <c r="S69" s="72"/>
      <c r="T69" s="73"/>
      <c r="U69" s="73"/>
      <c r="V69" s="73"/>
      <c r="W69" s="27"/>
    </row>
    <row r="70" spans="16:24" ht="15.75" thickTop="1" x14ac:dyDescent="0.25">
      <c r="P70" s="12"/>
    </row>
    <row r="71" spans="16:24" ht="15.75" thickBot="1" x14ac:dyDescent="0.3">
      <c r="P71" s="160" t="s">
        <v>203</v>
      </c>
      <c r="Q71" s="160"/>
      <c r="R71" s="160"/>
      <c r="S71" s="160"/>
      <c r="T71" s="160"/>
      <c r="U71" s="160"/>
      <c r="V71" s="160"/>
      <c r="W71" s="160"/>
    </row>
    <row r="72" spans="16:24" ht="31.5" thickTop="1" thickBot="1" x14ac:dyDescent="0.3">
      <c r="P72" s="91" t="s">
        <v>31</v>
      </c>
      <c r="Q72" s="92" t="s">
        <v>32</v>
      </c>
      <c r="R72" s="92" t="s">
        <v>30</v>
      </c>
      <c r="S72" s="92" t="s">
        <v>85</v>
      </c>
      <c r="T72" s="92" t="s">
        <v>34</v>
      </c>
      <c r="U72" s="93" t="s">
        <v>35</v>
      </c>
      <c r="V72" s="92" t="s">
        <v>84</v>
      </c>
      <c r="W72" s="92" t="s">
        <v>36</v>
      </c>
      <c r="X72" s="97" t="s">
        <v>189</v>
      </c>
    </row>
    <row r="73" spans="16:24" ht="15.75" thickTop="1" x14ac:dyDescent="0.25">
      <c r="P73" s="39">
        <v>1</v>
      </c>
      <c r="Q73" s="90">
        <v>100</v>
      </c>
      <c r="R73" s="90">
        <f>+$F$9</f>
        <v>0</v>
      </c>
      <c r="S73" s="90">
        <f>+$L$11*300</f>
        <v>670475.52000000002</v>
      </c>
      <c r="T73" s="90">
        <v>1500000</v>
      </c>
      <c r="U73" s="90">
        <f>(Q73-3000)*50*R73</f>
        <v>0</v>
      </c>
      <c r="V73" s="90">
        <f t="shared" ref="V73:V76" si="28">75000*R73</f>
        <v>0</v>
      </c>
      <c r="W73" s="90">
        <f>100000*R73</f>
        <v>0</v>
      </c>
      <c r="X73" s="94">
        <f>IF(R73&gt;0,SUM(S73:W73)/Q73,0)</f>
        <v>0</v>
      </c>
    </row>
    <row r="74" spans="16:24" x14ac:dyDescent="0.25">
      <c r="P74" s="15">
        <f>+P73+1</f>
        <v>2</v>
      </c>
      <c r="Q74" s="69">
        <v>200</v>
      </c>
      <c r="R74" s="69">
        <f>+$F$9</f>
        <v>0</v>
      </c>
      <c r="S74" s="69">
        <f t="shared" ref="S74:S103" si="29">+$L$11*300</f>
        <v>670475.52000000002</v>
      </c>
      <c r="T74" s="69">
        <v>1500000</v>
      </c>
      <c r="U74" s="69">
        <f>(Q74-3000)*50*R74</f>
        <v>0</v>
      </c>
      <c r="V74" s="69">
        <f t="shared" si="28"/>
        <v>0</v>
      </c>
      <c r="W74" s="69">
        <f t="shared" ref="W74:W81" si="30">100000*R74</f>
        <v>0</v>
      </c>
      <c r="X74" s="95">
        <f t="shared" ref="X74:X76" si="31">IF(R74&gt;0,SUM(S74:W74)/Q74,0)</f>
        <v>0</v>
      </c>
    </row>
    <row r="75" spans="16:24" x14ac:dyDescent="0.25">
      <c r="P75" s="15">
        <f t="shared" ref="P75:P103" si="32">+P74+1</f>
        <v>3</v>
      </c>
      <c r="Q75" s="69">
        <v>300</v>
      </c>
      <c r="R75" s="69">
        <f t="shared" ref="R75:R103" si="33">+$F$9</f>
        <v>0</v>
      </c>
      <c r="S75" s="69">
        <f t="shared" si="29"/>
        <v>670475.52000000002</v>
      </c>
      <c r="T75" s="69">
        <v>1500000</v>
      </c>
      <c r="U75" s="69">
        <f>(Q75-3000)*50*R75</f>
        <v>0</v>
      </c>
      <c r="V75" s="69">
        <f t="shared" si="28"/>
        <v>0</v>
      </c>
      <c r="W75" s="69">
        <f t="shared" si="30"/>
        <v>0</v>
      </c>
      <c r="X75" s="95">
        <f t="shared" si="31"/>
        <v>0</v>
      </c>
    </row>
    <row r="76" spans="16:24" x14ac:dyDescent="0.25">
      <c r="P76" s="15">
        <f t="shared" si="32"/>
        <v>4</v>
      </c>
      <c r="Q76" s="69">
        <v>500</v>
      </c>
      <c r="R76" s="69">
        <f t="shared" si="33"/>
        <v>0</v>
      </c>
      <c r="S76" s="69">
        <f t="shared" si="29"/>
        <v>670475.52000000002</v>
      </c>
      <c r="T76" s="69">
        <v>1500000</v>
      </c>
      <c r="U76" s="69">
        <f>(Q76-3000)*50*R76</f>
        <v>0</v>
      </c>
      <c r="V76" s="69">
        <f t="shared" si="28"/>
        <v>0</v>
      </c>
      <c r="W76" s="69">
        <f t="shared" si="30"/>
        <v>0</v>
      </c>
      <c r="X76" s="95">
        <f t="shared" si="31"/>
        <v>0</v>
      </c>
    </row>
    <row r="77" spans="16:24" x14ac:dyDescent="0.25">
      <c r="P77" s="15">
        <f t="shared" si="32"/>
        <v>5</v>
      </c>
      <c r="Q77" s="69">
        <v>1000</v>
      </c>
      <c r="R77" s="69">
        <f t="shared" si="33"/>
        <v>0</v>
      </c>
      <c r="S77" s="69">
        <f t="shared" si="29"/>
        <v>670475.52000000002</v>
      </c>
      <c r="T77" s="69">
        <v>1500000</v>
      </c>
      <c r="U77" s="69">
        <f t="shared" ref="U77:U103" si="34">(Q77-3000)*50*R77</f>
        <v>0</v>
      </c>
      <c r="V77" s="69">
        <f t="shared" ref="V77:V103" si="35">75000*R77</f>
        <v>0</v>
      </c>
      <c r="W77" s="69">
        <f t="shared" si="30"/>
        <v>0</v>
      </c>
      <c r="X77" s="95">
        <f t="shared" ref="X77:X103" si="36">IF(R77&gt;0,SUM(S77:W77)/Q77,0)</f>
        <v>0</v>
      </c>
    </row>
    <row r="78" spans="16:24" x14ac:dyDescent="0.25">
      <c r="P78" s="15">
        <f t="shared" si="32"/>
        <v>6</v>
      </c>
      <c r="Q78" s="69">
        <v>2000</v>
      </c>
      <c r="R78" s="69">
        <f t="shared" si="33"/>
        <v>0</v>
      </c>
      <c r="S78" s="69">
        <f t="shared" si="29"/>
        <v>670475.52000000002</v>
      </c>
      <c r="T78" s="69">
        <v>1500000</v>
      </c>
      <c r="U78" s="69">
        <f t="shared" si="34"/>
        <v>0</v>
      </c>
      <c r="V78" s="69">
        <f t="shared" si="35"/>
        <v>0</v>
      </c>
      <c r="W78" s="69">
        <f t="shared" si="30"/>
        <v>0</v>
      </c>
      <c r="X78" s="95">
        <f t="shared" si="36"/>
        <v>0</v>
      </c>
    </row>
    <row r="79" spans="16:24" x14ac:dyDescent="0.25">
      <c r="P79" s="15">
        <f t="shared" si="32"/>
        <v>7</v>
      </c>
      <c r="Q79" s="69">
        <v>3000</v>
      </c>
      <c r="R79" s="69">
        <f t="shared" si="33"/>
        <v>0</v>
      </c>
      <c r="S79" s="69">
        <f t="shared" si="29"/>
        <v>670475.52000000002</v>
      </c>
      <c r="T79" s="69">
        <v>1500000</v>
      </c>
      <c r="U79" s="69">
        <f t="shared" si="34"/>
        <v>0</v>
      </c>
      <c r="V79" s="69">
        <f t="shared" si="35"/>
        <v>0</v>
      </c>
      <c r="W79" s="69">
        <f t="shared" si="30"/>
        <v>0</v>
      </c>
      <c r="X79" s="95">
        <f t="shared" si="36"/>
        <v>0</v>
      </c>
    </row>
    <row r="80" spans="16:24" x14ac:dyDescent="0.25">
      <c r="P80" s="15">
        <f t="shared" si="32"/>
        <v>8</v>
      </c>
      <c r="Q80" s="69">
        <v>4000</v>
      </c>
      <c r="R80" s="69">
        <f t="shared" si="33"/>
        <v>0</v>
      </c>
      <c r="S80" s="69">
        <f t="shared" si="29"/>
        <v>670475.52000000002</v>
      </c>
      <c r="T80" s="69">
        <v>1500000</v>
      </c>
      <c r="U80" s="69">
        <f t="shared" si="34"/>
        <v>0</v>
      </c>
      <c r="V80" s="69">
        <f t="shared" si="35"/>
        <v>0</v>
      </c>
      <c r="W80" s="69">
        <f t="shared" si="30"/>
        <v>0</v>
      </c>
      <c r="X80" s="95">
        <f t="shared" si="36"/>
        <v>0</v>
      </c>
    </row>
    <row r="81" spans="16:24" x14ac:dyDescent="0.25">
      <c r="P81" s="15">
        <f t="shared" si="32"/>
        <v>9</v>
      </c>
      <c r="Q81" s="69">
        <v>5000</v>
      </c>
      <c r="R81" s="69">
        <f t="shared" si="33"/>
        <v>0</v>
      </c>
      <c r="S81" s="69">
        <f t="shared" si="29"/>
        <v>670475.52000000002</v>
      </c>
      <c r="T81" s="69">
        <v>1500000</v>
      </c>
      <c r="U81" s="69">
        <f t="shared" si="34"/>
        <v>0</v>
      </c>
      <c r="V81" s="69">
        <f t="shared" si="35"/>
        <v>0</v>
      </c>
      <c r="W81" s="69">
        <f t="shared" si="30"/>
        <v>0</v>
      </c>
      <c r="X81" s="95">
        <f t="shared" si="36"/>
        <v>0</v>
      </c>
    </row>
    <row r="82" spans="16:24" x14ac:dyDescent="0.25">
      <c r="P82" s="15">
        <f t="shared" si="32"/>
        <v>10</v>
      </c>
      <c r="Q82" s="69">
        <v>6000</v>
      </c>
      <c r="R82" s="69">
        <f t="shared" si="33"/>
        <v>0</v>
      </c>
      <c r="S82" s="69">
        <f t="shared" si="29"/>
        <v>670475.52000000002</v>
      </c>
      <c r="T82" s="69">
        <v>1500000</v>
      </c>
      <c r="U82" s="69">
        <f t="shared" si="34"/>
        <v>0</v>
      </c>
      <c r="V82" s="69">
        <f t="shared" si="35"/>
        <v>0</v>
      </c>
      <c r="W82" s="69">
        <f>+$W$73*Q82/$Q$81</f>
        <v>0</v>
      </c>
      <c r="X82" s="95">
        <f t="shared" si="36"/>
        <v>0</v>
      </c>
    </row>
    <row r="83" spans="16:24" x14ac:dyDescent="0.25">
      <c r="P83" s="15">
        <f t="shared" si="32"/>
        <v>11</v>
      </c>
      <c r="Q83" s="69">
        <v>7000</v>
      </c>
      <c r="R83" s="69">
        <f t="shared" si="33"/>
        <v>0</v>
      </c>
      <c r="S83" s="69">
        <f t="shared" si="29"/>
        <v>670475.52000000002</v>
      </c>
      <c r="T83" s="69">
        <v>1500000</v>
      </c>
      <c r="U83" s="69">
        <f t="shared" si="34"/>
        <v>0</v>
      </c>
      <c r="V83" s="69">
        <f t="shared" si="35"/>
        <v>0</v>
      </c>
      <c r="W83" s="69">
        <f t="shared" ref="W83:W103" si="37">+$W$73*Q83/$Q$81</f>
        <v>0</v>
      </c>
      <c r="X83" s="95">
        <f t="shared" si="36"/>
        <v>0</v>
      </c>
    </row>
    <row r="84" spans="16:24" x14ac:dyDescent="0.25">
      <c r="P84" s="15">
        <f t="shared" si="32"/>
        <v>12</v>
      </c>
      <c r="Q84" s="69">
        <v>8000</v>
      </c>
      <c r="R84" s="69">
        <f t="shared" si="33"/>
        <v>0</v>
      </c>
      <c r="S84" s="69">
        <f t="shared" si="29"/>
        <v>670475.52000000002</v>
      </c>
      <c r="T84" s="69">
        <v>1500000</v>
      </c>
      <c r="U84" s="69">
        <f t="shared" si="34"/>
        <v>0</v>
      </c>
      <c r="V84" s="69">
        <f t="shared" si="35"/>
        <v>0</v>
      </c>
      <c r="W84" s="69">
        <f t="shared" si="37"/>
        <v>0</v>
      </c>
      <c r="X84" s="95">
        <f t="shared" si="36"/>
        <v>0</v>
      </c>
    </row>
    <row r="85" spans="16:24" x14ac:dyDescent="0.25">
      <c r="P85" s="15">
        <f t="shared" si="32"/>
        <v>13</v>
      </c>
      <c r="Q85" s="69">
        <v>10000</v>
      </c>
      <c r="R85" s="69">
        <f t="shared" si="33"/>
        <v>0</v>
      </c>
      <c r="S85" s="69">
        <f t="shared" si="29"/>
        <v>670475.52000000002</v>
      </c>
      <c r="T85" s="69">
        <v>1500000</v>
      </c>
      <c r="U85" s="69">
        <f t="shared" si="34"/>
        <v>0</v>
      </c>
      <c r="V85" s="69">
        <f t="shared" si="35"/>
        <v>0</v>
      </c>
      <c r="W85" s="69">
        <f t="shared" si="37"/>
        <v>0</v>
      </c>
      <c r="X85" s="95">
        <f t="shared" si="36"/>
        <v>0</v>
      </c>
    </row>
    <row r="86" spans="16:24" x14ac:dyDescent="0.25">
      <c r="P86" s="15">
        <f t="shared" si="32"/>
        <v>14</v>
      </c>
      <c r="Q86" s="69">
        <v>15000</v>
      </c>
      <c r="R86" s="69">
        <f t="shared" si="33"/>
        <v>0</v>
      </c>
      <c r="S86" s="69">
        <f t="shared" si="29"/>
        <v>670475.52000000002</v>
      </c>
      <c r="T86" s="69">
        <v>1500000</v>
      </c>
      <c r="U86" s="69">
        <f t="shared" si="34"/>
        <v>0</v>
      </c>
      <c r="V86" s="69">
        <f t="shared" si="35"/>
        <v>0</v>
      </c>
      <c r="W86" s="69">
        <f t="shared" si="37"/>
        <v>0</v>
      </c>
      <c r="X86" s="95">
        <f t="shared" si="36"/>
        <v>0</v>
      </c>
    </row>
    <row r="87" spans="16:24" x14ac:dyDescent="0.25">
      <c r="P87" s="15">
        <f t="shared" si="32"/>
        <v>15</v>
      </c>
      <c r="Q87" s="69">
        <v>20000</v>
      </c>
      <c r="R87" s="69">
        <f t="shared" si="33"/>
        <v>0</v>
      </c>
      <c r="S87" s="69">
        <f t="shared" si="29"/>
        <v>670475.52000000002</v>
      </c>
      <c r="T87" s="69">
        <v>1500000</v>
      </c>
      <c r="U87" s="69">
        <f t="shared" si="34"/>
        <v>0</v>
      </c>
      <c r="V87" s="69">
        <f t="shared" si="35"/>
        <v>0</v>
      </c>
      <c r="W87" s="69">
        <f t="shared" si="37"/>
        <v>0</v>
      </c>
      <c r="X87" s="95">
        <f t="shared" si="36"/>
        <v>0</v>
      </c>
    </row>
    <row r="88" spans="16:24" x14ac:dyDescent="0.25">
      <c r="P88" s="15">
        <f t="shared" si="32"/>
        <v>16</v>
      </c>
      <c r="Q88" s="69">
        <v>25000</v>
      </c>
      <c r="R88" s="69">
        <f t="shared" si="33"/>
        <v>0</v>
      </c>
      <c r="S88" s="69">
        <f t="shared" si="29"/>
        <v>670475.52000000002</v>
      </c>
      <c r="T88" s="69">
        <v>1500000</v>
      </c>
      <c r="U88" s="69">
        <f t="shared" si="34"/>
        <v>0</v>
      </c>
      <c r="V88" s="69">
        <f t="shared" si="35"/>
        <v>0</v>
      </c>
      <c r="W88" s="69">
        <f t="shared" si="37"/>
        <v>0</v>
      </c>
      <c r="X88" s="95">
        <f t="shared" si="36"/>
        <v>0</v>
      </c>
    </row>
    <row r="89" spans="16:24" x14ac:dyDescent="0.25">
      <c r="P89" s="15">
        <f t="shared" si="32"/>
        <v>17</v>
      </c>
      <c r="Q89" s="69">
        <v>30000</v>
      </c>
      <c r="R89" s="69">
        <f t="shared" si="33"/>
        <v>0</v>
      </c>
      <c r="S89" s="69">
        <f t="shared" si="29"/>
        <v>670475.52000000002</v>
      </c>
      <c r="T89" s="69">
        <v>1500000</v>
      </c>
      <c r="U89" s="69">
        <f t="shared" si="34"/>
        <v>0</v>
      </c>
      <c r="V89" s="69">
        <f t="shared" si="35"/>
        <v>0</v>
      </c>
      <c r="W89" s="69">
        <f t="shared" si="37"/>
        <v>0</v>
      </c>
      <c r="X89" s="95">
        <f t="shared" si="36"/>
        <v>0</v>
      </c>
    </row>
    <row r="90" spans="16:24" x14ac:dyDescent="0.25">
      <c r="P90" s="15">
        <f t="shared" si="32"/>
        <v>18</v>
      </c>
      <c r="Q90" s="69">
        <v>35000</v>
      </c>
      <c r="R90" s="69">
        <f t="shared" si="33"/>
        <v>0</v>
      </c>
      <c r="S90" s="69">
        <f t="shared" si="29"/>
        <v>670475.52000000002</v>
      </c>
      <c r="T90" s="69">
        <v>1500000</v>
      </c>
      <c r="U90" s="69">
        <f t="shared" si="34"/>
        <v>0</v>
      </c>
      <c r="V90" s="69">
        <f t="shared" si="35"/>
        <v>0</v>
      </c>
      <c r="W90" s="69">
        <f t="shared" si="37"/>
        <v>0</v>
      </c>
      <c r="X90" s="95">
        <f t="shared" si="36"/>
        <v>0</v>
      </c>
    </row>
    <row r="91" spans="16:24" x14ac:dyDescent="0.25">
      <c r="P91" s="15">
        <f t="shared" si="32"/>
        <v>19</v>
      </c>
      <c r="Q91" s="69">
        <v>40000</v>
      </c>
      <c r="R91" s="69">
        <f t="shared" si="33"/>
        <v>0</v>
      </c>
      <c r="S91" s="69">
        <f t="shared" si="29"/>
        <v>670475.52000000002</v>
      </c>
      <c r="T91" s="69">
        <v>1500000</v>
      </c>
      <c r="U91" s="69">
        <f t="shared" si="34"/>
        <v>0</v>
      </c>
      <c r="V91" s="69">
        <f t="shared" si="35"/>
        <v>0</v>
      </c>
      <c r="W91" s="69">
        <f t="shared" si="37"/>
        <v>0</v>
      </c>
      <c r="X91" s="95">
        <f t="shared" si="36"/>
        <v>0</v>
      </c>
    </row>
    <row r="92" spans="16:24" x14ac:dyDescent="0.25">
      <c r="P92" s="15">
        <f t="shared" si="32"/>
        <v>20</v>
      </c>
      <c r="Q92" s="69">
        <v>45000</v>
      </c>
      <c r="R92" s="69">
        <f t="shared" si="33"/>
        <v>0</v>
      </c>
      <c r="S92" s="69">
        <f t="shared" si="29"/>
        <v>670475.52000000002</v>
      </c>
      <c r="T92" s="69">
        <v>1500000</v>
      </c>
      <c r="U92" s="69">
        <f t="shared" si="34"/>
        <v>0</v>
      </c>
      <c r="V92" s="69">
        <f t="shared" si="35"/>
        <v>0</v>
      </c>
      <c r="W92" s="69">
        <f t="shared" si="37"/>
        <v>0</v>
      </c>
      <c r="X92" s="95">
        <f t="shared" si="36"/>
        <v>0</v>
      </c>
    </row>
    <row r="93" spans="16:24" x14ac:dyDescent="0.25">
      <c r="P93" s="15">
        <f t="shared" si="32"/>
        <v>21</v>
      </c>
      <c r="Q93" s="69">
        <v>50000</v>
      </c>
      <c r="R93" s="69">
        <f t="shared" si="33"/>
        <v>0</v>
      </c>
      <c r="S93" s="69">
        <f t="shared" si="29"/>
        <v>670475.52000000002</v>
      </c>
      <c r="T93" s="69">
        <v>1500000</v>
      </c>
      <c r="U93" s="69">
        <f t="shared" si="34"/>
        <v>0</v>
      </c>
      <c r="V93" s="69">
        <f t="shared" si="35"/>
        <v>0</v>
      </c>
      <c r="W93" s="69">
        <f t="shared" si="37"/>
        <v>0</v>
      </c>
      <c r="X93" s="95">
        <f t="shared" si="36"/>
        <v>0</v>
      </c>
    </row>
    <row r="94" spans="16:24" x14ac:dyDescent="0.25">
      <c r="P94" s="15">
        <f t="shared" si="32"/>
        <v>22</v>
      </c>
      <c r="Q94" s="69">
        <v>55000</v>
      </c>
      <c r="R94" s="69">
        <f t="shared" si="33"/>
        <v>0</v>
      </c>
      <c r="S94" s="69">
        <f t="shared" si="29"/>
        <v>670475.52000000002</v>
      </c>
      <c r="T94" s="69">
        <v>1500000</v>
      </c>
      <c r="U94" s="69">
        <f t="shared" si="34"/>
        <v>0</v>
      </c>
      <c r="V94" s="69">
        <f t="shared" si="35"/>
        <v>0</v>
      </c>
      <c r="W94" s="69">
        <f t="shared" si="37"/>
        <v>0</v>
      </c>
      <c r="X94" s="95">
        <f t="shared" si="36"/>
        <v>0</v>
      </c>
    </row>
    <row r="95" spans="16:24" x14ac:dyDescent="0.25">
      <c r="P95" s="15">
        <f t="shared" si="32"/>
        <v>23</v>
      </c>
      <c r="Q95" s="69">
        <v>60000</v>
      </c>
      <c r="R95" s="69">
        <f t="shared" si="33"/>
        <v>0</v>
      </c>
      <c r="S95" s="69">
        <f t="shared" si="29"/>
        <v>670475.52000000002</v>
      </c>
      <c r="T95" s="69">
        <v>1500000</v>
      </c>
      <c r="U95" s="69">
        <f t="shared" si="34"/>
        <v>0</v>
      </c>
      <c r="V95" s="69">
        <f t="shared" si="35"/>
        <v>0</v>
      </c>
      <c r="W95" s="69">
        <f t="shared" si="37"/>
        <v>0</v>
      </c>
      <c r="X95" s="95">
        <f t="shared" si="36"/>
        <v>0</v>
      </c>
    </row>
    <row r="96" spans="16:24" x14ac:dyDescent="0.25">
      <c r="P96" s="15">
        <f t="shared" si="32"/>
        <v>24</v>
      </c>
      <c r="Q96" s="69">
        <v>65000</v>
      </c>
      <c r="R96" s="69">
        <f t="shared" si="33"/>
        <v>0</v>
      </c>
      <c r="S96" s="69">
        <f t="shared" si="29"/>
        <v>670475.52000000002</v>
      </c>
      <c r="T96" s="69">
        <v>1500000</v>
      </c>
      <c r="U96" s="69">
        <f t="shared" si="34"/>
        <v>0</v>
      </c>
      <c r="V96" s="69">
        <f t="shared" si="35"/>
        <v>0</v>
      </c>
      <c r="W96" s="69">
        <f t="shared" si="37"/>
        <v>0</v>
      </c>
      <c r="X96" s="95">
        <f t="shared" si="36"/>
        <v>0</v>
      </c>
    </row>
    <row r="97" spans="16:24" x14ac:dyDescent="0.25">
      <c r="P97" s="15">
        <f t="shared" si="32"/>
        <v>25</v>
      </c>
      <c r="Q97" s="69">
        <v>70000</v>
      </c>
      <c r="R97" s="69">
        <f t="shared" si="33"/>
        <v>0</v>
      </c>
      <c r="S97" s="69">
        <f t="shared" si="29"/>
        <v>670475.52000000002</v>
      </c>
      <c r="T97" s="69">
        <v>1500000</v>
      </c>
      <c r="U97" s="69">
        <f t="shared" si="34"/>
        <v>0</v>
      </c>
      <c r="V97" s="69">
        <f t="shared" si="35"/>
        <v>0</v>
      </c>
      <c r="W97" s="69">
        <f t="shared" si="37"/>
        <v>0</v>
      </c>
      <c r="X97" s="95">
        <f t="shared" si="36"/>
        <v>0</v>
      </c>
    </row>
    <row r="98" spans="16:24" x14ac:dyDescent="0.25">
      <c r="P98" s="15">
        <f t="shared" si="32"/>
        <v>26</v>
      </c>
      <c r="Q98" s="69">
        <v>75000</v>
      </c>
      <c r="R98" s="69">
        <f t="shared" si="33"/>
        <v>0</v>
      </c>
      <c r="S98" s="69">
        <f t="shared" si="29"/>
        <v>670475.52000000002</v>
      </c>
      <c r="T98" s="69">
        <v>1500000</v>
      </c>
      <c r="U98" s="69">
        <f t="shared" si="34"/>
        <v>0</v>
      </c>
      <c r="V98" s="69">
        <f t="shared" si="35"/>
        <v>0</v>
      </c>
      <c r="W98" s="69">
        <f t="shared" si="37"/>
        <v>0</v>
      </c>
      <c r="X98" s="95">
        <f t="shared" si="36"/>
        <v>0</v>
      </c>
    </row>
    <row r="99" spans="16:24" x14ac:dyDescent="0.25">
      <c r="P99" s="15">
        <f t="shared" si="32"/>
        <v>27</v>
      </c>
      <c r="Q99" s="69">
        <v>80000</v>
      </c>
      <c r="R99" s="69">
        <f t="shared" si="33"/>
        <v>0</v>
      </c>
      <c r="S99" s="69">
        <f t="shared" si="29"/>
        <v>670475.52000000002</v>
      </c>
      <c r="T99" s="69">
        <v>1500000</v>
      </c>
      <c r="U99" s="69">
        <f t="shared" si="34"/>
        <v>0</v>
      </c>
      <c r="V99" s="69">
        <f t="shared" si="35"/>
        <v>0</v>
      </c>
      <c r="W99" s="69">
        <f t="shared" si="37"/>
        <v>0</v>
      </c>
      <c r="X99" s="95">
        <f t="shared" si="36"/>
        <v>0</v>
      </c>
    </row>
    <row r="100" spans="16:24" x14ac:dyDescent="0.25">
      <c r="P100" s="15">
        <f t="shared" si="32"/>
        <v>28</v>
      </c>
      <c r="Q100" s="69">
        <v>85000</v>
      </c>
      <c r="R100" s="69">
        <f t="shared" si="33"/>
        <v>0</v>
      </c>
      <c r="S100" s="69">
        <f t="shared" si="29"/>
        <v>670475.52000000002</v>
      </c>
      <c r="T100" s="69">
        <v>1500000</v>
      </c>
      <c r="U100" s="69">
        <f t="shared" si="34"/>
        <v>0</v>
      </c>
      <c r="V100" s="69">
        <f t="shared" si="35"/>
        <v>0</v>
      </c>
      <c r="W100" s="69">
        <f t="shared" si="37"/>
        <v>0</v>
      </c>
      <c r="X100" s="95">
        <f t="shared" si="36"/>
        <v>0</v>
      </c>
    </row>
    <row r="101" spans="16:24" x14ac:dyDescent="0.25">
      <c r="P101" s="15">
        <f t="shared" si="32"/>
        <v>29</v>
      </c>
      <c r="Q101" s="69">
        <v>90000</v>
      </c>
      <c r="R101" s="69">
        <f t="shared" si="33"/>
        <v>0</v>
      </c>
      <c r="S101" s="69">
        <f t="shared" si="29"/>
        <v>670475.52000000002</v>
      </c>
      <c r="T101" s="69">
        <v>1500000</v>
      </c>
      <c r="U101" s="69">
        <f t="shared" si="34"/>
        <v>0</v>
      </c>
      <c r="V101" s="69">
        <f t="shared" si="35"/>
        <v>0</v>
      </c>
      <c r="W101" s="69">
        <f t="shared" si="37"/>
        <v>0</v>
      </c>
      <c r="X101" s="95">
        <f t="shared" si="36"/>
        <v>0</v>
      </c>
    </row>
    <row r="102" spans="16:24" x14ac:dyDescent="0.25">
      <c r="P102" s="15">
        <f t="shared" si="32"/>
        <v>30</v>
      </c>
      <c r="Q102" s="69">
        <v>95000</v>
      </c>
      <c r="R102" s="69">
        <f t="shared" si="33"/>
        <v>0</v>
      </c>
      <c r="S102" s="69">
        <f t="shared" si="29"/>
        <v>670475.52000000002</v>
      </c>
      <c r="T102" s="69">
        <v>1500000</v>
      </c>
      <c r="U102" s="69">
        <f t="shared" si="34"/>
        <v>0</v>
      </c>
      <c r="V102" s="69">
        <f t="shared" si="35"/>
        <v>0</v>
      </c>
      <c r="W102" s="69">
        <f t="shared" si="37"/>
        <v>0</v>
      </c>
      <c r="X102" s="95">
        <f t="shared" si="36"/>
        <v>0</v>
      </c>
    </row>
    <row r="103" spans="16:24" ht="15.75" thickBot="1" x14ac:dyDescent="0.3">
      <c r="P103" s="16">
        <f t="shared" si="32"/>
        <v>31</v>
      </c>
      <c r="Q103" s="72">
        <v>100000</v>
      </c>
      <c r="R103" s="72">
        <f t="shared" si="33"/>
        <v>0</v>
      </c>
      <c r="S103" s="72">
        <f t="shared" si="29"/>
        <v>670475.52000000002</v>
      </c>
      <c r="T103" s="72">
        <v>1500000</v>
      </c>
      <c r="U103" s="72">
        <f t="shared" si="34"/>
        <v>0</v>
      </c>
      <c r="V103" s="72">
        <f t="shared" si="35"/>
        <v>0</v>
      </c>
      <c r="W103" s="72">
        <f t="shared" si="37"/>
        <v>0</v>
      </c>
      <c r="X103" s="96">
        <f t="shared" si="36"/>
        <v>0</v>
      </c>
    </row>
    <row r="104" spans="16:24" ht="15.75" thickTop="1" x14ac:dyDescent="0.25"/>
    <row r="106" spans="16:24" ht="15.75" thickBot="1" x14ac:dyDescent="0.3">
      <c r="P106" s="160" t="s">
        <v>204</v>
      </c>
      <c r="Q106" s="160"/>
      <c r="R106" s="160"/>
      <c r="S106" s="160"/>
      <c r="T106" s="160"/>
      <c r="U106" s="160"/>
      <c r="V106" s="160"/>
      <c r="W106" s="160"/>
    </row>
    <row r="107" spans="16:24" ht="31.5" thickTop="1" thickBot="1" x14ac:dyDescent="0.3">
      <c r="P107" s="91" t="s">
        <v>31</v>
      </c>
      <c r="Q107" s="92" t="s">
        <v>32</v>
      </c>
      <c r="R107" s="92" t="s">
        <v>30</v>
      </c>
      <c r="S107" s="92" t="s">
        <v>85</v>
      </c>
      <c r="T107" s="92" t="s">
        <v>34</v>
      </c>
      <c r="U107" s="93" t="s">
        <v>35</v>
      </c>
      <c r="V107" s="92" t="s">
        <v>84</v>
      </c>
      <c r="W107" s="92" t="s">
        <v>36</v>
      </c>
      <c r="X107" s="97" t="s">
        <v>189</v>
      </c>
    </row>
    <row r="108" spans="16:24" ht="15.75" thickTop="1" x14ac:dyDescent="0.25">
      <c r="P108" s="39">
        <v>1</v>
      </c>
      <c r="Q108" s="90">
        <v>100</v>
      </c>
      <c r="R108" s="90">
        <f>+$F$9</f>
        <v>0</v>
      </c>
      <c r="S108" s="90">
        <f>+$L$11*300</f>
        <v>670475.52000000002</v>
      </c>
      <c r="T108" s="90">
        <v>2500000</v>
      </c>
      <c r="U108" s="90">
        <f>(Q108-3000)*300</f>
        <v>-870000</v>
      </c>
      <c r="V108" s="90">
        <f>200000*R108</f>
        <v>0</v>
      </c>
      <c r="W108" s="90">
        <f>150000*R108</f>
        <v>0</v>
      </c>
      <c r="X108" s="94">
        <f>IF(R108&gt;0,SUM(S108:W108)/Q108,0)</f>
        <v>0</v>
      </c>
    </row>
    <row r="109" spans="16:24" x14ac:dyDescent="0.25">
      <c r="P109" s="15">
        <f>+P108+1</f>
        <v>2</v>
      </c>
      <c r="Q109" s="69">
        <v>200</v>
      </c>
      <c r="R109" s="69">
        <f>+$F$9</f>
        <v>0</v>
      </c>
      <c r="S109" s="69">
        <f t="shared" ref="S109:S138" si="38">+$L$11*300</f>
        <v>670475.52000000002</v>
      </c>
      <c r="T109" s="69">
        <v>2500000</v>
      </c>
      <c r="U109" s="69">
        <f t="shared" ref="U109:U138" si="39">(Q109-3000)*300</f>
        <v>-840000</v>
      </c>
      <c r="V109" s="69">
        <f t="shared" ref="V109:V138" si="40">200000*R109</f>
        <v>0</v>
      </c>
      <c r="W109" s="69">
        <v>600000</v>
      </c>
      <c r="X109" s="95">
        <f t="shared" ref="X109:X111" si="41">IF(R109&gt;0,SUM(S109:W109)/Q109,0)</f>
        <v>0</v>
      </c>
    </row>
    <row r="110" spans="16:24" x14ac:dyDescent="0.25">
      <c r="P110" s="15">
        <f t="shared" ref="P110:P138" si="42">+P109+1</f>
        <v>3</v>
      </c>
      <c r="Q110" s="69">
        <v>300</v>
      </c>
      <c r="R110" s="69">
        <f t="shared" ref="R110:R138" si="43">+$F$9</f>
        <v>0</v>
      </c>
      <c r="S110" s="69">
        <f t="shared" si="38"/>
        <v>670475.52000000002</v>
      </c>
      <c r="T110" s="69">
        <v>2500000</v>
      </c>
      <c r="U110" s="69">
        <f t="shared" si="39"/>
        <v>-810000</v>
      </c>
      <c r="V110" s="69">
        <f t="shared" si="40"/>
        <v>0</v>
      </c>
      <c r="W110" s="69">
        <v>600000</v>
      </c>
      <c r="X110" s="95">
        <f t="shared" si="41"/>
        <v>0</v>
      </c>
    </row>
    <row r="111" spans="16:24" x14ac:dyDescent="0.25">
      <c r="P111" s="15">
        <f t="shared" si="42"/>
        <v>4</v>
      </c>
      <c r="Q111" s="69">
        <v>500</v>
      </c>
      <c r="R111" s="69">
        <f t="shared" si="43"/>
        <v>0</v>
      </c>
      <c r="S111" s="69">
        <f t="shared" si="38"/>
        <v>670475.52000000002</v>
      </c>
      <c r="T111" s="69">
        <v>2500000</v>
      </c>
      <c r="U111" s="69">
        <f t="shared" si="39"/>
        <v>-750000</v>
      </c>
      <c r="V111" s="69">
        <f t="shared" si="40"/>
        <v>0</v>
      </c>
      <c r="W111" s="69">
        <v>600000</v>
      </c>
      <c r="X111" s="95">
        <f t="shared" si="41"/>
        <v>0</v>
      </c>
    </row>
    <row r="112" spans="16:24" x14ac:dyDescent="0.25">
      <c r="P112" s="15">
        <f t="shared" si="42"/>
        <v>5</v>
      </c>
      <c r="Q112" s="69">
        <v>1000</v>
      </c>
      <c r="R112" s="69">
        <f t="shared" si="43"/>
        <v>0</v>
      </c>
      <c r="S112" s="69">
        <f t="shared" si="38"/>
        <v>670475.52000000002</v>
      </c>
      <c r="T112" s="69">
        <v>2500000</v>
      </c>
      <c r="U112" s="69">
        <f t="shared" si="39"/>
        <v>-600000</v>
      </c>
      <c r="V112" s="69">
        <f t="shared" si="40"/>
        <v>0</v>
      </c>
      <c r="W112" s="69">
        <v>600000</v>
      </c>
      <c r="X112" s="95">
        <f t="shared" ref="X112:X138" si="44">IF(R112&gt;0,SUM(S112:W112)/Q112,0)</f>
        <v>0</v>
      </c>
    </row>
    <row r="113" spans="16:24" x14ac:dyDescent="0.25">
      <c r="P113" s="15">
        <f t="shared" si="42"/>
        <v>6</v>
      </c>
      <c r="Q113" s="69">
        <v>2000</v>
      </c>
      <c r="R113" s="69">
        <f t="shared" si="43"/>
        <v>0</v>
      </c>
      <c r="S113" s="69">
        <f t="shared" si="38"/>
        <v>670475.52000000002</v>
      </c>
      <c r="T113" s="69">
        <v>2500000</v>
      </c>
      <c r="U113" s="69">
        <f t="shared" si="39"/>
        <v>-300000</v>
      </c>
      <c r="V113" s="69">
        <f t="shared" si="40"/>
        <v>0</v>
      </c>
      <c r="W113" s="69">
        <v>600000</v>
      </c>
      <c r="X113" s="95">
        <f t="shared" si="44"/>
        <v>0</v>
      </c>
    </row>
    <row r="114" spans="16:24" x14ac:dyDescent="0.25">
      <c r="P114" s="15">
        <f t="shared" si="42"/>
        <v>7</v>
      </c>
      <c r="Q114" s="69">
        <v>3000</v>
      </c>
      <c r="R114" s="69">
        <f t="shared" si="43"/>
        <v>0</v>
      </c>
      <c r="S114" s="69">
        <f t="shared" si="38"/>
        <v>670475.52000000002</v>
      </c>
      <c r="T114" s="69">
        <v>2500000</v>
      </c>
      <c r="U114" s="69">
        <f t="shared" si="39"/>
        <v>0</v>
      </c>
      <c r="V114" s="69">
        <f t="shared" si="40"/>
        <v>0</v>
      </c>
      <c r="W114" s="69">
        <v>600000</v>
      </c>
      <c r="X114" s="95">
        <f t="shared" si="44"/>
        <v>0</v>
      </c>
    </row>
    <row r="115" spans="16:24" x14ac:dyDescent="0.25">
      <c r="P115" s="15">
        <f t="shared" si="42"/>
        <v>8</v>
      </c>
      <c r="Q115" s="69">
        <v>4000</v>
      </c>
      <c r="R115" s="69">
        <f t="shared" si="43"/>
        <v>0</v>
      </c>
      <c r="S115" s="69">
        <f t="shared" si="38"/>
        <v>670475.52000000002</v>
      </c>
      <c r="T115" s="69">
        <v>2500000</v>
      </c>
      <c r="U115" s="69">
        <f t="shared" si="39"/>
        <v>300000</v>
      </c>
      <c r="V115" s="69">
        <f t="shared" si="40"/>
        <v>0</v>
      </c>
      <c r="W115" s="69">
        <v>600000</v>
      </c>
      <c r="X115" s="95">
        <f t="shared" si="44"/>
        <v>0</v>
      </c>
    </row>
    <row r="116" spans="16:24" x14ac:dyDescent="0.25">
      <c r="P116" s="15">
        <f t="shared" si="42"/>
        <v>9</v>
      </c>
      <c r="Q116" s="69">
        <v>5000</v>
      </c>
      <c r="R116" s="69">
        <f t="shared" si="43"/>
        <v>0</v>
      </c>
      <c r="S116" s="69">
        <f t="shared" si="38"/>
        <v>670475.52000000002</v>
      </c>
      <c r="T116" s="69">
        <v>2500000</v>
      </c>
      <c r="U116" s="69">
        <f t="shared" si="39"/>
        <v>600000</v>
      </c>
      <c r="V116" s="69">
        <f t="shared" si="40"/>
        <v>0</v>
      </c>
      <c r="W116" s="69">
        <v>600000</v>
      </c>
      <c r="X116" s="95">
        <f t="shared" si="44"/>
        <v>0</v>
      </c>
    </row>
    <row r="117" spans="16:24" x14ac:dyDescent="0.25">
      <c r="P117" s="15">
        <f t="shared" si="42"/>
        <v>10</v>
      </c>
      <c r="Q117" s="69">
        <v>6000</v>
      </c>
      <c r="R117" s="69">
        <f t="shared" si="43"/>
        <v>0</v>
      </c>
      <c r="S117" s="69">
        <f t="shared" si="38"/>
        <v>670475.52000000002</v>
      </c>
      <c r="T117" s="69">
        <v>2500000</v>
      </c>
      <c r="U117" s="69">
        <f t="shared" si="39"/>
        <v>900000</v>
      </c>
      <c r="V117" s="69">
        <f t="shared" si="40"/>
        <v>0</v>
      </c>
      <c r="W117" s="69">
        <f>+$W$116*Q117/$Q$116</f>
        <v>720000</v>
      </c>
      <c r="X117" s="95">
        <f t="shared" si="44"/>
        <v>0</v>
      </c>
    </row>
    <row r="118" spans="16:24" x14ac:dyDescent="0.25">
      <c r="P118" s="15">
        <f t="shared" si="42"/>
        <v>11</v>
      </c>
      <c r="Q118" s="69">
        <v>7000</v>
      </c>
      <c r="R118" s="69">
        <f t="shared" si="43"/>
        <v>0</v>
      </c>
      <c r="S118" s="69">
        <f t="shared" si="38"/>
        <v>670475.52000000002</v>
      </c>
      <c r="T118" s="69">
        <v>2500000</v>
      </c>
      <c r="U118" s="69">
        <f t="shared" si="39"/>
        <v>1200000</v>
      </c>
      <c r="V118" s="69">
        <f t="shared" si="40"/>
        <v>0</v>
      </c>
      <c r="W118" s="69">
        <f t="shared" ref="W118:W138" si="45">+$W$116*Q118/$Q$116</f>
        <v>840000</v>
      </c>
      <c r="X118" s="95">
        <f t="shared" si="44"/>
        <v>0</v>
      </c>
    </row>
    <row r="119" spans="16:24" x14ac:dyDescent="0.25">
      <c r="P119" s="15">
        <f t="shared" si="42"/>
        <v>12</v>
      </c>
      <c r="Q119" s="69">
        <v>8000</v>
      </c>
      <c r="R119" s="69">
        <f t="shared" si="43"/>
        <v>0</v>
      </c>
      <c r="S119" s="69">
        <f t="shared" si="38"/>
        <v>670475.52000000002</v>
      </c>
      <c r="T119" s="69">
        <v>2500000</v>
      </c>
      <c r="U119" s="69">
        <f t="shared" si="39"/>
        <v>1500000</v>
      </c>
      <c r="V119" s="69">
        <f t="shared" si="40"/>
        <v>0</v>
      </c>
      <c r="W119" s="69">
        <f t="shared" si="45"/>
        <v>960000</v>
      </c>
      <c r="X119" s="95">
        <f t="shared" si="44"/>
        <v>0</v>
      </c>
    </row>
    <row r="120" spans="16:24" x14ac:dyDescent="0.25">
      <c r="P120" s="15">
        <f t="shared" si="42"/>
        <v>13</v>
      </c>
      <c r="Q120" s="69">
        <v>10000</v>
      </c>
      <c r="R120" s="69">
        <f t="shared" si="43"/>
        <v>0</v>
      </c>
      <c r="S120" s="69">
        <f t="shared" si="38"/>
        <v>670475.52000000002</v>
      </c>
      <c r="T120" s="69">
        <v>2500000</v>
      </c>
      <c r="U120" s="69">
        <f t="shared" si="39"/>
        <v>2100000</v>
      </c>
      <c r="V120" s="69">
        <f t="shared" si="40"/>
        <v>0</v>
      </c>
      <c r="W120" s="69">
        <f t="shared" si="45"/>
        <v>1200000</v>
      </c>
      <c r="X120" s="95">
        <f t="shared" si="44"/>
        <v>0</v>
      </c>
    </row>
    <row r="121" spans="16:24" x14ac:dyDescent="0.25">
      <c r="P121" s="15">
        <f t="shared" si="42"/>
        <v>14</v>
      </c>
      <c r="Q121" s="69">
        <v>15000</v>
      </c>
      <c r="R121" s="69">
        <f t="shared" si="43"/>
        <v>0</v>
      </c>
      <c r="S121" s="69">
        <f t="shared" si="38"/>
        <v>670475.52000000002</v>
      </c>
      <c r="T121" s="69">
        <v>2500000</v>
      </c>
      <c r="U121" s="69">
        <f t="shared" si="39"/>
        <v>3600000</v>
      </c>
      <c r="V121" s="69">
        <f t="shared" si="40"/>
        <v>0</v>
      </c>
      <c r="W121" s="69">
        <f t="shared" si="45"/>
        <v>1800000</v>
      </c>
      <c r="X121" s="95">
        <f t="shared" si="44"/>
        <v>0</v>
      </c>
    </row>
    <row r="122" spans="16:24" x14ac:dyDescent="0.25">
      <c r="P122" s="15">
        <f t="shared" si="42"/>
        <v>15</v>
      </c>
      <c r="Q122" s="69">
        <v>20000</v>
      </c>
      <c r="R122" s="69">
        <f t="shared" si="43"/>
        <v>0</v>
      </c>
      <c r="S122" s="69">
        <f t="shared" si="38"/>
        <v>670475.52000000002</v>
      </c>
      <c r="T122" s="69">
        <v>2500000</v>
      </c>
      <c r="U122" s="69">
        <f t="shared" si="39"/>
        <v>5100000</v>
      </c>
      <c r="V122" s="69">
        <f t="shared" si="40"/>
        <v>0</v>
      </c>
      <c r="W122" s="69">
        <f t="shared" si="45"/>
        <v>2400000</v>
      </c>
      <c r="X122" s="95">
        <f t="shared" si="44"/>
        <v>0</v>
      </c>
    </row>
    <row r="123" spans="16:24" x14ac:dyDescent="0.25">
      <c r="P123" s="15">
        <f t="shared" si="42"/>
        <v>16</v>
      </c>
      <c r="Q123" s="69">
        <v>25000</v>
      </c>
      <c r="R123" s="69">
        <f t="shared" si="43"/>
        <v>0</v>
      </c>
      <c r="S123" s="69">
        <f t="shared" si="38"/>
        <v>670475.52000000002</v>
      </c>
      <c r="T123" s="69">
        <v>2500000</v>
      </c>
      <c r="U123" s="69">
        <f t="shared" si="39"/>
        <v>6600000</v>
      </c>
      <c r="V123" s="69">
        <f t="shared" si="40"/>
        <v>0</v>
      </c>
      <c r="W123" s="69">
        <f t="shared" si="45"/>
        <v>3000000</v>
      </c>
      <c r="X123" s="95">
        <f t="shared" si="44"/>
        <v>0</v>
      </c>
    </row>
    <row r="124" spans="16:24" x14ac:dyDescent="0.25">
      <c r="P124" s="15">
        <f t="shared" si="42"/>
        <v>17</v>
      </c>
      <c r="Q124" s="69">
        <v>30000</v>
      </c>
      <c r="R124" s="69">
        <f t="shared" si="43"/>
        <v>0</v>
      </c>
      <c r="S124" s="69">
        <f t="shared" si="38"/>
        <v>670475.52000000002</v>
      </c>
      <c r="T124" s="69">
        <v>2500000</v>
      </c>
      <c r="U124" s="69">
        <f t="shared" si="39"/>
        <v>8100000</v>
      </c>
      <c r="V124" s="69">
        <f t="shared" si="40"/>
        <v>0</v>
      </c>
      <c r="W124" s="69">
        <f t="shared" si="45"/>
        <v>3600000</v>
      </c>
      <c r="X124" s="95">
        <f t="shared" si="44"/>
        <v>0</v>
      </c>
    </row>
    <row r="125" spans="16:24" x14ac:dyDescent="0.25">
      <c r="P125" s="15">
        <f t="shared" si="42"/>
        <v>18</v>
      </c>
      <c r="Q125" s="69">
        <v>35000</v>
      </c>
      <c r="R125" s="69">
        <f t="shared" si="43"/>
        <v>0</v>
      </c>
      <c r="S125" s="69">
        <f t="shared" si="38"/>
        <v>670475.52000000002</v>
      </c>
      <c r="T125" s="69">
        <v>2500000</v>
      </c>
      <c r="U125" s="69">
        <f t="shared" si="39"/>
        <v>9600000</v>
      </c>
      <c r="V125" s="69">
        <f t="shared" si="40"/>
        <v>0</v>
      </c>
      <c r="W125" s="69">
        <f t="shared" si="45"/>
        <v>4200000</v>
      </c>
      <c r="X125" s="95">
        <f t="shared" si="44"/>
        <v>0</v>
      </c>
    </row>
    <row r="126" spans="16:24" x14ac:dyDescent="0.25">
      <c r="P126" s="15">
        <f t="shared" si="42"/>
        <v>19</v>
      </c>
      <c r="Q126" s="69">
        <v>40000</v>
      </c>
      <c r="R126" s="69">
        <f t="shared" si="43"/>
        <v>0</v>
      </c>
      <c r="S126" s="69">
        <f t="shared" si="38"/>
        <v>670475.52000000002</v>
      </c>
      <c r="T126" s="69">
        <v>2500000</v>
      </c>
      <c r="U126" s="69">
        <f t="shared" si="39"/>
        <v>11100000</v>
      </c>
      <c r="V126" s="69">
        <f t="shared" si="40"/>
        <v>0</v>
      </c>
      <c r="W126" s="69">
        <f t="shared" si="45"/>
        <v>4800000</v>
      </c>
      <c r="X126" s="95">
        <f t="shared" si="44"/>
        <v>0</v>
      </c>
    </row>
    <row r="127" spans="16:24" x14ac:dyDescent="0.25">
      <c r="P127" s="15">
        <f t="shared" si="42"/>
        <v>20</v>
      </c>
      <c r="Q127" s="69">
        <v>45000</v>
      </c>
      <c r="R127" s="69">
        <f t="shared" si="43"/>
        <v>0</v>
      </c>
      <c r="S127" s="69">
        <f t="shared" si="38"/>
        <v>670475.52000000002</v>
      </c>
      <c r="T127" s="69">
        <v>2500000</v>
      </c>
      <c r="U127" s="69">
        <f t="shared" si="39"/>
        <v>12600000</v>
      </c>
      <c r="V127" s="69">
        <f t="shared" si="40"/>
        <v>0</v>
      </c>
      <c r="W127" s="69">
        <f t="shared" si="45"/>
        <v>5400000</v>
      </c>
      <c r="X127" s="95">
        <f t="shared" si="44"/>
        <v>0</v>
      </c>
    </row>
    <row r="128" spans="16:24" x14ac:dyDescent="0.25">
      <c r="P128" s="15">
        <f t="shared" si="42"/>
        <v>21</v>
      </c>
      <c r="Q128" s="69">
        <v>50000</v>
      </c>
      <c r="R128" s="69">
        <f t="shared" si="43"/>
        <v>0</v>
      </c>
      <c r="S128" s="69">
        <f t="shared" si="38"/>
        <v>670475.52000000002</v>
      </c>
      <c r="T128" s="69">
        <v>2500000</v>
      </c>
      <c r="U128" s="69">
        <f t="shared" si="39"/>
        <v>14100000</v>
      </c>
      <c r="V128" s="69">
        <f t="shared" si="40"/>
        <v>0</v>
      </c>
      <c r="W128" s="69">
        <f t="shared" si="45"/>
        <v>6000000</v>
      </c>
      <c r="X128" s="95">
        <f t="shared" si="44"/>
        <v>0</v>
      </c>
    </row>
    <row r="129" spans="16:25" x14ac:dyDescent="0.25">
      <c r="P129" s="15">
        <f t="shared" si="42"/>
        <v>22</v>
      </c>
      <c r="Q129" s="69">
        <v>55000</v>
      </c>
      <c r="R129" s="69">
        <f t="shared" si="43"/>
        <v>0</v>
      </c>
      <c r="S129" s="69">
        <f t="shared" si="38"/>
        <v>670475.52000000002</v>
      </c>
      <c r="T129" s="69">
        <v>2500000</v>
      </c>
      <c r="U129" s="69">
        <f t="shared" si="39"/>
        <v>15600000</v>
      </c>
      <c r="V129" s="69">
        <f t="shared" si="40"/>
        <v>0</v>
      </c>
      <c r="W129" s="69">
        <f t="shared" si="45"/>
        <v>6600000</v>
      </c>
      <c r="X129" s="95">
        <f t="shared" si="44"/>
        <v>0</v>
      </c>
    </row>
    <row r="130" spans="16:25" x14ac:dyDescent="0.25">
      <c r="P130" s="15">
        <f t="shared" si="42"/>
        <v>23</v>
      </c>
      <c r="Q130" s="69">
        <v>60000</v>
      </c>
      <c r="R130" s="69">
        <f t="shared" si="43"/>
        <v>0</v>
      </c>
      <c r="S130" s="69">
        <f t="shared" si="38"/>
        <v>670475.52000000002</v>
      </c>
      <c r="T130" s="69">
        <v>2500000</v>
      </c>
      <c r="U130" s="69">
        <f t="shared" si="39"/>
        <v>17100000</v>
      </c>
      <c r="V130" s="69">
        <f t="shared" si="40"/>
        <v>0</v>
      </c>
      <c r="W130" s="69">
        <f t="shared" si="45"/>
        <v>7200000</v>
      </c>
      <c r="X130" s="95">
        <f t="shared" si="44"/>
        <v>0</v>
      </c>
    </row>
    <row r="131" spans="16:25" x14ac:dyDescent="0.25">
      <c r="P131" s="15">
        <f t="shared" si="42"/>
        <v>24</v>
      </c>
      <c r="Q131" s="69">
        <v>65000</v>
      </c>
      <c r="R131" s="69">
        <f t="shared" si="43"/>
        <v>0</v>
      </c>
      <c r="S131" s="69">
        <f t="shared" si="38"/>
        <v>670475.52000000002</v>
      </c>
      <c r="T131" s="69">
        <v>2500000</v>
      </c>
      <c r="U131" s="69">
        <f t="shared" si="39"/>
        <v>18600000</v>
      </c>
      <c r="V131" s="69">
        <f t="shared" si="40"/>
        <v>0</v>
      </c>
      <c r="W131" s="69">
        <f t="shared" si="45"/>
        <v>7800000</v>
      </c>
      <c r="X131" s="95">
        <f t="shared" si="44"/>
        <v>0</v>
      </c>
    </row>
    <row r="132" spans="16:25" x14ac:dyDescent="0.25">
      <c r="P132" s="15">
        <f t="shared" si="42"/>
        <v>25</v>
      </c>
      <c r="Q132" s="69">
        <v>70000</v>
      </c>
      <c r="R132" s="69">
        <f t="shared" si="43"/>
        <v>0</v>
      </c>
      <c r="S132" s="69">
        <f t="shared" si="38"/>
        <v>670475.52000000002</v>
      </c>
      <c r="T132" s="69">
        <v>2500000</v>
      </c>
      <c r="U132" s="69">
        <f t="shared" si="39"/>
        <v>20100000</v>
      </c>
      <c r="V132" s="69">
        <f t="shared" si="40"/>
        <v>0</v>
      </c>
      <c r="W132" s="69">
        <f t="shared" si="45"/>
        <v>8400000</v>
      </c>
      <c r="X132" s="95">
        <f t="shared" si="44"/>
        <v>0</v>
      </c>
    </row>
    <row r="133" spans="16:25" x14ac:dyDescent="0.25">
      <c r="P133" s="15">
        <f t="shared" si="42"/>
        <v>26</v>
      </c>
      <c r="Q133" s="69">
        <v>75000</v>
      </c>
      <c r="R133" s="69">
        <f t="shared" si="43"/>
        <v>0</v>
      </c>
      <c r="S133" s="69">
        <f t="shared" si="38"/>
        <v>670475.52000000002</v>
      </c>
      <c r="T133" s="69">
        <v>2500000</v>
      </c>
      <c r="U133" s="69">
        <f t="shared" si="39"/>
        <v>21600000</v>
      </c>
      <c r="V133" s="69">
        <f t="shared" si="40"/>
        <v>0</v>
      </c>
      <c r="W133" s="69">
        <f t="shared" si="45"/>
        <v>9000000</v>
      </c>
      <c r="X133" s="95">
        <f t="shared" si="44"/>
        <v>0</v>
      </c>
    </row>
    <row r="134" spans="16:25" x14ac:dyDescent="0.25">
      <c r="P134" s="15">
        <f t="shared" si="42"/>
        <v>27</v>
      </c>
      <c r="Q134" s="69">
        <v>80000</v>
      </c>
      <c r="R134" s="69">
        <f t="shared" si="43"/>
        <v>0</v>
      </c>
      <c r="S134" s="69">
        <f t="shared" si="38"/>
        <v>670475.52000000002</v>
      </c>
      <c r="T134" s="69">
        <v>2500000</v>
      </c>
      <c r="U134" s="69">
        <f t="shared" si="39"/>
        <v>23100000</v>
      </c>
      <c r="V134" s="69">
        <f t="shared" si="40"/>
        <v>0</v>
      </c>
      <c r="W134" s="69">
        <f t="shared" si="45"/>
        <v>9600000</v>
      </c>
      <c r="X134" s="95">
        <f t="shared" si="44"/>
        <v>0</v>
      </c>
    </row>
    <row r="135" spans="16:25" x14ac:dyDescent="0.25">
      <c r="P135" s="15">
        <f t="shared" si="42"/>
        <v>28</v>
      </c>
      <c r="Q135" s="69">
        <v>85000</v>
      </c>
      <c r="R135" s="69">
        <f t="shared" si="43"/>
        <v>0</v>
      </c>
      <c r="S135" s="69">
        <f t="shared" si="38"/>
        <v>670475.52000000002</v>
      </c>
      <c r="T135" s="69">
        <v>2500000</v>
      </c>
      <c r="U135" s="69">
        <f t="shared" si="39"/>
        <v>24600000</v>
      </c>
      <c r="V135" s="69">
        <f t="shared" si="40"/>
        <v>0</v>
      </c>
      <c r="W135" s="69">
        <f t="shared" si="45"/>
        <v>10200000</v>
      </c>
      <c r="X135" s="95">
        <f t="shared" si="44"/>
        <v>0</v>
      </c>
    </row>
    <row r="136" spans="16:25" x14ac:dyDescent="0.25">
      <c r="P136" s="15">
        <f t="shared" si="42"/>
        <v>29</v>
      </c>
      <c r="Q136" s="69">
        <v>90000</v>
      </c>
      <c r="R136" s="69">
        <f t="shared" si="43"/>
        <v>0</v>
      </c>
      <c r="S136" s="69">
        <f t="shared" si="38"/>
        <v>670475.52000000002</v>
      </c>
      <c r="T136" s="69">
        <v>2500000</v>
      </c>
      <c r="U136" s="69">
        <f t="shared" si="39"/>
        <v>26100000</v>
      </c>
      <c r="V136" s="69">
        <f t="shared" si="40"/>
        <v>0</v>
      </c>
      <c r="W136" s="69">
        <f t="shared" si="45"/>
        <v>10800000</v>
      </c>
      <c r="X136" s="95">
        <f t="shared" si="44"/>
        <v>0</v>
      </c>
    </row>
    <row r="137" spans="16:25" x14ac:dyDescent="0.25">
      <c r="P137" s="15">
        <f t="shared" si="42"/>
        <v>30</v>
      </c>
      <c r="Q137" s="69">
        <v>95000</v>
      </c>
      <c r="R137" s="69">
        <f t="shared" si="43"/>
        <v>0</v>
      </c>
      <c r="S137" s="69">
        <f t="shared" si="38"/>
        <v>670475.52000000002</v>
      </c>
      <c r="T137" s="69">
        <v>2500000</v>
      </c>
      <c r="U137" s="69">
        <f t="shared" si="39"/>
        <v>27600000</v>
      </c>
      <c r="V137" s="69">
        <f t="shared" si="40"/>
        <v>0</v>
      </c>
      <c r="W137" s="69">
        <f t="shared" si="45"/>
        <v>11400000</v>
      </c>
      <c r="X137" s="95">
        <f t="shared" si="44"/>
        <v>0</v>
      </c>
    </row>
    <row r="138" spans="16:25" ht="15.75" thickBot="1" x14ac:dyDescent="0.3">
      <c r="P138" s="16">
        <f t="shared" si="42"/>
        <v>31</v>
      </c>
      <c r="Q138" s="72">
        <v>100000</v>
      </c>
      <c r="R138" s="72">
        <f t="shared" si="43"/>
        <v>0</v>
      </c>
      <c r="S138" s="72">
        <f t="shared" si="38"/>
        <v>670475.52000000002</v>
      </c>
      <c r="T138" s="72">
        <v>2500000</v>
      </c>
      <c r="U138" s="72">
        <f t="shared" si="39"/>
        <v>29100000</v>
      </c>
      <c r="V138" s="72">
        <f t="shared" si="40"/>
        <v>0</v>
      </c>
      <c r="W138" s="72">
        <f t="shared" si="45"/>
        <v>12000000</v>
      </c>
      <c r="X138" s="96">
        <f t="shared" si="44"/>
        <v>0</v>
      </c>
    </row>
    <row r="139" spans="16:25" ht="15.75" thickTop="1" x14ac:dyDescent="0.25"/>
    <row r="141" spans="16:25" ht="15.75" thickBot="1" x14ac:dyDescent="0.3">
      <c r="P141" s="160" t="s">
        <v>205</v>
      </c>
      <c r="Q141" s="160"/>
      <c r="R141" s="160"/>
      <c r="S141" s="160"/>
      <c r="T141" s="160"/>
      <c r="U141" s="160"/>
      <c r="V141" s="160"/>
      <c r="W141" s="160"/>
    </row>
    <row r="142" spans="16:25" ht="31.5" thickTop="1" thickBot="1" x14ac:dyDescent="0.3">
      <c r="P142" s="91" t="s">
        <v>31</v>
      </c>
      <c r="Q142" s="92" t="s">
        <v>32</v>
      </c>
      <c r="R142" s="92" t="s">
        <v>30</v>
      </c>
      <c r="S142" s="92" t="s">
        <v>85</v>
      </c>
      <c r="T142" s="92" t="s">
        <v>34</v>
      </c>
      <c r="U142" s="93" t="s">
        <v>35</v>
      </c>
      <c r="V142" s="92" t="s">
        <v>84</v>
      </c>
      <c r="W142" s="92" t="s">
        <v>206</v>
      </c>
      <c r="X142" s="92" t="s">
        <v>36</v>
      </c>
      <c r="Y142" s="97" t="s">
        <v>189</v>
      </c>
    </row>
    <row r="143" spans="16:25" ht="15.75" thickTop="1" x14ac:dyDescent="0.25">
      <c r="P143" s="39">
        <v>1</v>
      </c>
      <c r="Q143" s="90">
        <v>100</v>
      </c>
      <c r="R143" s="90">
        <f>+$F$9</f>
        <v>0</v>
      </c>
      <c r="S143" s="90">
        <f>+$L$11*300</f>
        <v>670475.52000000002</v>
      </c>
      <c r="T143" s="90">
        <v>3500000</v>
      </c>
      <c r="U143" s="90">
        <f>(Q143-3000)*350</f>
        <v>-1015000</v>
      </c>
      <c r="V143" s="90">
        <f>200000*R143</f>
        <v>0</v>
      </c>
      <c r="W143" s="90">
        <f>35*$F$11/10*$H$11/10*$F$9</f>
        <v>0</v>
      </c>
      <c r="X143" s="90">
        <f>200000*R143</f>
        <v>0</v>
      </c>
      <c r="Y143" s="94">
        <f t="shared" ref="Y143:Y173" si="46">IF(R143&gt;0,SUM(S143:X143)/Q143,0)</f>
        <v>0</v>
      </c>
    </row>
    <row r="144" spans="16:25" x14ac:dyDescent="0.25">
      <c r="P144" s="15">
        <f>+P143+1</f>
        <v>2</v>
      </c>
      <c r="Q144" s="69">
        <v>200</v>
      </c>
      <c r="R144" s="69">
        <f>+$F$9</f>
        <v>0</v>
      </c>
      <c r="S144" s="69">
        <f t="shared" ref="S144:S173" si="47">+$L$11*300</f>
        <v>670475.52000000002</v>
      </c>
      <c r="T144" s="69">
        <v>3500000</v>
      </c>
      <c r="U144" s="69">
        <f t="shared" ref="U144:U173" si="48">(Q144-3000)*350</f>
        <v>-980000</v>
      </c>
      <c r="V144" s="69">
        <f t="shared" ref="V144:V173" si="49">200000*R144</f>
        <v>0</v>
      </c>
      <c r="W144" s="69">
        <v>1142400</v>
      </c>
      <c r="X144" s="69">
        <v>800000</v>
      </c>
      <c r="Y144" s="95">
        <f t="shared" si="46"/>
        <v>0</v>
      </c>
    </row>
    <row r="145" spans="16:25" x14ac:dyDescent="0.25">
      <c r="P145" s="15">
        <f t="shared" ref="P145:P173" si="50">+P144+1</f>
        <v>3</v>
      </c>
      <c r="Q145" s="69">
        <v>300</v>
      </c>
      <c r="R145" s="69">
        <f t="shared" ref="R145:R173" si="51">+$F$9</f>
        <v>0</v>
      </c>
      <c r="S145" s="69">
        <f t="shared" si="47"/>
        <v>670475.52000000002</v>
      </c>
      <c r="T145" s="69">
        <v>3500000</v>
      </c>
      <c r="U145" s="69">
        <f t="shared" si="48"/>
        <v>-945000</v>
      </c>
      <c r="V145" s="69">
        <f t="shared" si="49"/>
        <v>0</v>
      </c>
      <c r="W145" s="69">
        <v>1142400</v>
      </c>
      <c r="X145" s="69">
        <v>800000</v>
      </c>
      <c r="Y145" s="95">
        <f t="shared" si="46"/>
        <v>0</v>
      </c>
    </row>
    <row r="146" spans="16:25" x14ac:dyDescent="0.25">
      <c r="P146" s="15">
        <f t="shared" si="50"/>
        <v>4</v>
      </c>
      <c r="Q146" s="69">
        <v>500</v>
      </c>
      <c r="R146" s="69">
        <f t="shared" si="51"/>
        <v>0</v>
      </c>
      <c r="S146" s="69">
        <f t="shared" si="47"/>
        <v>670475.52000000002</v>
      </c>
      <c r="T146" s="69">
        <v>3500000</v>
      </c>
      <c r="U146" s="69">
        <f t="shared" si="48"/>
        <v>-875000</v>
      </c>
      <c r="V146" s="69">
        <f t="shared" si="49"/>
        <v>0</v>
      </c>
      <c r="W146" s="69">
        <v>1142400</v>
      </c>
      <c r="X146" s="69">
        <v>800000</v>
      </c>
      <c r="Y146" s="95">
        <f t="shared" si="46"/>
        <v>0</v>
      </c>
    </row>
    <row r="147" spans="16:25" x14ac:dyDescent="0.25">
      <c r="P147" s="15">
        <f t="shared" si="50"/>
        <v>5</v>
      </c>
      <c r="Q147" s="69">
        <v>1000</v>
      </c>
      <c r="R147" s="69">
        <f t="shared" si="51"/>
        <v>0</v>
      </c>
      <c r="S147" s="69">
        <f t="shared" si="47"/>
        <v>670475.52000000002</v>
      </c>
      <c r="T147" s="69">
        <v>3500000</v>
      </c>
      <c r="U147" s="69">
        <f t="shared" si="48"/>
        <v>-700000</v>
      </c>
      <c r="V147" s="69">
        <f t="shared" si="49"/>
        <v>0</v>
      </c>
      <c r="W147" s="69">
        <v>1142400</v>
      </c>
      <c r="X147" s="69">
        <v>800000</v>
      </c>
      <c r="Y147" s="95">
        <f t="shared" si="46"/>
        <v>0</v>
      </c>
    </row>
    <row r="148" spans="16:25" x14ac:dyDescent="0.25">
      <c r="P148" s="15">
        <f t="shared" si="50"/>
        <v>6</v>
      </c>
      <c r="Q148" s="69">
        <v>2000</v>
      </c>
      <c r="R148" s="69">
        <f t="shared" si="51"/>
        <v>0</v>
      </c>
      <c r="S148" s="69">
        <f t="shared" si="47"/>
        <v>670475.52000000002</v>
      </c>
      <c r="T148" s="69">
        <v>3500000</v>
      </c>
      <c r="U148" s="69">
        <f t="shared" si="48"/>
        <v>-350000</v>
      </c>
      <c r="V148" s="69">
        <f t="shared" si="49"/>
        <v>0</v>
      </c>
      <c r="W148" s="69">
        <v>1142400</v>
      </c>
      <c r="X148" s="69">
        <v>800000</v>
      </c>
      <c r="Y148" s="95">
        <f t="shared" si="46"/>
        <v>0</v>
      </c>
    </row>
    <row r="149" spans="16:25" x14ac:dyDescent="0.25">
      <c r="P149" s="15">
        <f t="shared" si="50"/>
        <v>7</v>
      </c>
      <c r="Q149" s="69">
        <v>3000</v>
      </c>
      <c r="R149" s="69">
        <f t="shared" si="51"/>
        <v>0</v>
      </c>
      <c r="S149" s="69">
        <f t="shared" si="47"/>
        <v>670475.52000000002</v>
      </c>
      <c r="T149" s="69">
        <v>3500000</v>
      </c>
      <c r="U149" s="69">
        <f t="shared" si="48"/>
        <v>0</v>
      </c>
      <c r="V149" s="69">
        <f t="shared" si="49"/>
        <v>0</v>
      </c>
      <c r="W149" s="69">
        <v>1142400</v>
      </c>
      <c r="X149" s="69">
        <v>800000</v>
      </c>
      <c r="Y149" s="95">
        <f t="shared" si="46"/>
        <v>0</v>
      </c>
    </row>
    <row r="150" spans="16:25" x14ac:dyDescent="0.25">
      <c r="P150" s="15">
        <f t="shared" si="50"/>
        <v>8</v>
      </c>
      <c r="Q150" s="69">
        <v>4000</v>
      </c>
      <c r="R150" s="69">
        <f t="shared" si="51"/>
        <v>0</v>
      </c>
      <c r="S150" s="69">
        <f t="shared" si="47"/>
        <v>670475.52000000002</v>
      </c>
      <c r="T150" s="69">
        <v>3500000</v>
      </c>
      <c r="U150" s="69">
        <f t="shared" si="48"/>
        <v>350000</v>
      </c>
      <c r="V150" s="69">
        <f t="shared" si="49"/>
        <v>0</v>
      </c>
      <c r="W150" s="69">
        <v>1142400</v>
      </c>
      <c r="X150" s="69">
        <v>800000</v>
      </c>
      <c r="Y150" s="95">
        <f t="shared" si="46"/>
        <v>0</v>
      </c>
    </row>
    <row r="151" spans="16:25" x14ac:dyDescent="0.25">
      <c r="P151" s="15">
        <f t="shared" si="50"/>
        <v>9</v>
      </c>
      <c r="Q151" s="69">
        <v>5000</v>
      </c>
      <c r="R151" s="69">
        <f t="shared" si="51"/>
        <v>0</v>
      </c>
      <c r="S151" s="69">
        <f t="shared" si="47"/>
        <v>670475.52000000002</v>
      </c>
      <c r="T151" s="69">
        <v>3500000</v>
      </c>
      <c r="U151" s="69">
        <f t="shared" si="48"/>
        <v>700000</v>
      </c>
      <c r="V151" s="69">
        <f t="shared" si="49"/>
        <v>0</v>
      </c>
      <c r="W151" s="69">
        <v>1142400</v>
      </c>
      <c r="X151" s="69">
        <v>800000</v>
      </c>
      <c r="Y151" s="95">
        <f t="shared" si="46"/>
        <v>0</v>
      </c>
    </row>
    <row r="152" spans="16:25" x14ac:dyDescent="0.25">
      <c r="P152" s="15">
        <f t="shared" si="50"/>
        <v>10</v>
      </c>
      <c r="Q152" s="69">
        <v>6000</v>
      </c>
      <c r="R152" s="69">
        <f t="shared" si="51"/>
        <v>0</v>
      </c>
      <c r="S152" s="69">
        <f t="shared" si="47"/>
        <v>670475.52000000002</v>
      </c>
      <c r="T152" s="69">
        <v>3500000</v>
      </c>
      <c r="U152" s="69">
        <f t="shared" si="48"/>
        <v>1050000</v>
      </c>
      <c r="V152" s="69">
        <f t="shared" si="49"/>
        <v>0</v>
      </c>
      <c r="W152" s="69">
        <v>1142400</v>
      </c>
      <c r="X152" s="69">
        <f>+$X$151*Q152/$Q$151</f>
        <v>960000</v>
      </c>
      <c r="Y152" s="95">
        <f t="shared" si="46"/>
        <v>0</v>
      </c>
    </row>
    <row r="153" spans="16:25" x14ac:dyDescent="0.25">
      <c r="P153" s="15">
        <f t="shared" si="50"/>
        <v>11</v>
      </c>
      <c r="Q153" s="69">
        <v>7000</v>
      </c>
      <c r="R153" s="69">
        <f t="shared" si="51"/>
        <v>0</v>
      </c>
      <c r="S153" s="69">
        <f t="shared" si="47"/>
        <v>670475.52000000002</v>
      </c>
      <c r="T153" s="69">
        <v>3500000</v>
      </c>
      <c r="U153" s="69">
        <f t="shared" si="48"/>
        <v>1400000</v>
      </c>
      <c r="V153" s="69">
        <f t="shared" si="49"/>
        <v>0</v>
      </c>
      <c r="W153" s="69">
        <v>1142400</v>
      </c>
      <c r="X153" s="69">
        <f t="shared" ref="X153:X173" si="52">+$X$151*Q153/$Q$151</f>
        <v>1120000</v>
      </c>
      <c r="Y153" s="95">
        <f t="shared" si="46"/>
        <v>0</v>
      </c>
    </row>
    <row r="154" spans="16:25" x14ac:dyDescent="0.25">
      <c r="P154" s="15">
        <f t="shared" si="50"/>
        <v>12</v>
      </c>
      <c r="Q154" s="69">
        <v>8000</v>
      </c>
      <c r="R154" s="69">
        <f t="shared" si="51"/>
        <v>0</v>
      </c>
      <c r="S154" s="69">
        <f t="shared" si="47"/>
        <v>670475.52000000002</v>
      </c>
      <c r="T154" s="69">
        <v>3500000</v>
      </c>
      <c r="U154" s="69">
        <f t="shared" si="48"/>
        <v>1750000</v>
      </c>
      <c r="V154" s="69">
        <f t="shared" si="49"/>
        <v>0</v>
      </c>
      <c r="W154" s="69">
        <v>1142400</v>
      </c>
      <c r="X154" s="69">
        <f t="shared" si="52"/>
        <v>1280000</v>
      </c>
      <c r="Y154" s="95">
        <f t="shared" si="46"/>
        <v>0</v>
      </c>
    </row>
    <row r="155" spans="16:25" x14ac:dyDescent="0.25">
      <c r="P155" s="15">
        <f t="shared" si="50"/>
        <v>13</v>
      </c>
      <c r="Q155" s="69">
        <v>10000</v>
      </c>
      <c r="R155" s="69">
        <f t="shared" si="51"/>
        <v>0</v>
      </c>
      <c r="S155" s="69">
        <f t="shared" si="47"/>
        <v>670475.52000000002</v>
      </c>
      <c r="T155" s="69">
        <v>3500000</v>
      </c>
      <c r="U155" s="69">
        <f t="shared" si="48"/>
        <v>2450000</v>
      </c>
      <c r="V155" s="69">
        <f t="shared" si="49"/>
        <v>0</v>
      </c>
      <c r="W155" s="69">
        <v>1142400</v>
      </c>
      <c r="X155" s="69">
        <f t="shared" si="52"/>
        <v>1600000</v>
      </c>
      <c r="Y155" s="95">
        <f t="shared" si="46"/>
        <v>0</v>
      </c>
    </row>
    <row r="156" spans="16:25" x14ac:dyDescent="0.25">
      <c r="P156" s="15">
        <f t="shared" si="50"/>
        <v>14</v>
      </c>
      <c r="Q156" s="69">
        <v>15000</v>
      </c>
      <c r="R156" s="69">
        <f t="shared" si="51"/>
        <v>0</v>
      </c>
      <c r="S156" s="69">
        <f t="shared" si="47"/>
        <v>670475.52000000002</v>
      </c>
      <c r="T156" s="69">
        <v>3500000</v>
      </c>
      <c r="U156" s="69">
        <f t="shared" si="48"/>
        <v>4200000</v>
      </c>
      <c r="V156" s="69">
        <f t="shared" si="49"/>
        <v>0</v>
      </c>
      <c r="W156" s="69">
        <v>1142400</v>
      </c>
      <c r="X156" s="69">
        <f t="shared" si="52"/>
        <v>2400000</v>
      </c>
      <c r="Y156" s="95">
        <f t="shared" si="46"/>
        <v>0</v>
      </c>
    </row>
    <row r="157" spans="16:25" x14ac:dyDescent="0.25">
      <c r="P157" s="15">
        <f t="shared" si="50"/>
        <v>15</v>
      </c>
      <c r="Q157" s="69">
        <v>20000</v>
      </c>
      <c r="R157" s="69">
        <f t="shared" si="51"/>
        <v>0</v>
      </c>
      <c r="S157" s="69">
        <f t="shared" si="47"/>
        <v>670475.52000000002</v>
      </c>
      <c r="T157" s="69">
        <v>3500000</v>
      </c>
      <c r="U157" s="69">
        <f t="shared" si="48"/>
        <v>5950000</v>
      </c>
      <c r="V157" s="69">
        <f t="shared" si="49"/>
        <v>0</v>
      </c>
      <c r="W157" s="69">
        <v>1142400</v>
      </c>
      <c r="X157" s="69">
        <f t="shared" si="52"/>
        <v>3200000</v>
      </c>
      <c r="Y157" s="95">
        <f t="shared" si="46"/>
        <v>0</v>
      </c>
    </row>
    <row r="158" spans="16:25" x14ac:dyDescent="0.25">
      <c r="P158" s="15">
        <f t="shared" si="50"/>
        <v>16</v>
      </c>
      <c r="Q158" s="69">
        <v>25000</v>
      </c>
      <c r="R158" s="69">
        <f t="shared" si="51"/>
        <v>0</v>
      </c>
      <c r="S158" s="69">
        <f t="shared" si="47"/>
        <v>670475.52000000002</v>
      </c>
      <c r="T158" s="69">
        <v>3500000</v>
      </c>
      <c r="U158" s="69">
        <f t="shared" si="48"/>
        <v>7700000</v>
      </c>
      <c r="V158" s="69">
        <f t="shared" si="49"/>
        <v>0</v>
      </c>
      <c r="W158" s="69">
        <v>1142400</v>
      </c>
      <c r="X158" s="69">
        <f t="shared" si="52"/>
        <v>4000000</v>
      </c>
      <c r="Y158" s="95">
        <f t="shared" si="46"/>
        <v>0</v>
      </c>
    </row>
    <row r="159" spans="16:25" x14ac:dyDescent="0.25">
      <c r="P159" s="15">
        <f t="shared" si="50"/>
        <v>17</v>
      </c>
      <c r="Q159" s="69">
        <v>30000</v>
      </c>
      <c r="R159" s="69">
        <f t="shared" si="51"/>
        <v>0</v>
      </c>
      <c r="S159" s="69">
        <f t="shared" si="47"/>
        <v>670475.52000000002</v>
      </c>
      <c r="T159" s="69">
        <v>3500000</v>
      </c>
      <c r="U159" s="69">
        <f t="shared" si="48"/>
        <v>9450000</v>
      </c>
      <c r="V159" s="69">
        <f t="shared" si="49"/>
        <v>0</v>
      </c>
      <c r="W159" s="69">
        <v>1142400</v>
      </c>
      <c r="X159" s="69">
        <f t="shared" si="52"/>
        <v>4800000</v>
      </c>
      <c r="Y159" s="95">
        <f t="shared" si="46"/>
        <v>0</v>
      </c>
    </row>
    <row r="160" spans="16:25" x14ac:dyDescent="0.25">
      <c r="P160" s="15">
        <f t="shared" si="50"/>
        <v>18</v>
      </c>
      <c r="Q160" s="69">
        <v>35000</v>
      </c>
      <c r="R160" s="69">
        <f t="shared" si="51"/>
        <v>0</v>
      </c>
      <c r="S160" s="69">
        <f t="shared" si="47"/>
        <v>670475.52000000002</v>
      </c>
      <c r="T160" s="69">
        <v>3500000</v>
      </c>
      <c r="U160" s="69">
        <f t="shared" si="48"/>
        <v>11200000</v>
      </c>
      <c r="V160" s="69">
        <f t="shared" si="49"/>
        <v>0</v>
      </c>
      <c r="W160" s="69">
        <v>1142400</v>
      </c>
      <c r="X160" s="69">
        <f t="shared" si="52"/>
        <v>5600000</v>
      </c>
      <c r="Y160" s="95">
        <f t="shared" si="46"/>
        <v>0</v>
      </c>
    </row>
    <row r="161" spans="16:25" x14ac:dyDescent="0.25">
      <c r="P161" s="15">
        <f t="shared" si="50"/>
        <v>19</v>
      </c>
      <c r="Q161" s="69">
        <v>40000</v>
      </c>
      <c r="R161" s="69">
        <f t="shared" si="51"/>
        <v>0</v>
      </c>
      <c r="S161" s="69">
        <f t="shared" si="47"/>
        <v>670475.52000000002</v>
      </c>
      <c r="T161" s="69">
        <v>3500000</v>
      </c>
      <c r="U161" s="69">
        <f t="shared" si="48"/>
        <v>12950000</v>
      </c>
      <c r="V161" s="69">
        <f t="shared" si="49"/>
        <v>0</v>
      </c>
      <c r="W161" s="69">
        <v>1142400</v>
      </c>
      <c r="X161" s="69">
        <f t="shared" si="52"/>
        <v>6400000</v>
      </c>
      <c r="Y161" s="95">
        <f t="shared" si="46"/>
        <v>0</v>
      </c>
    </row>
    <row r="162" spans="16:25" x14ac:dyDescent="0.25">
      <c r="P162" s="15">
        <f t="shared" si="50"/>
        <v>20</v>
      </c>
      <c r="Q162" s="69">
        <v>45000</v>
      </c>
      <c r="R162" s="69">
        <f t="shared" si="51"/>
        <v>0</v>
      </c>
      <c r="S162" s="69">
        <f t="shared" si="47"/>
        <v>670475.52000000002</v>
      </c>
      <c r="T162" s="69">
        <v>3500000</v>
      </c>
      <c r="U162" s="69">
        <f t="shared" si="48"/>
        <v>14700000</v>
      </c>
      <c r="V162" s="69">
        <f t="shared" si="49"/>
        <v>0</v>
      </c>
      <c r="W162" s="69">
        <v>1142400</v>
      </c>
      <c r="X162" s="69">
        <f t="shared" si="52"/>
        <v>7200000</v>
      </c>
      <c r="Y162" s="95">
        <f t="shared" si="46"/>
        <v>0</v>
      </c>
    </row>
    <row r="163" spans="16:25" x14ac:dyDescent="0.25">
      <c r="P163" s="15">
        <f t="shared" si="50"/>
        <v>21</v>
      </c>
      <c r="Q163" s="69">
        <v>50000</v>
      </c>
      <c r="R163" s="69">
        <f t="shared" si="51"/>
        <v>0</v>
      </c>
      <c r="S163" s="69">
        <f t="shared" si="47"/>
        <v>670475.52000000002</v>
      </c>
      <c r="T163" s="69">
        <v>3500000</v>
      </c>
      <c r="U163" s="69">
        <f t="shared" si="48"/>
        <v>16450000</v>
      </c>
      <c r="V163" s="69">
        <f t="shared" si="49"/>
        <v>0</v>
      </c>
      <c r="W163" s="69">
        <v>1142400</v>
      </c>
      <c r="X163" s="69">
        <f t="shared" si="52"/>
        <v>8000000</v>
      </c>
      <c r="Y163" s="95">
        <f t="shared" si="46"/>
        <v>0</v>
      </c>
    </row>
    <row r="164" spans="16:25" x14ac:dyDescent="0.25">
      <c r="P164" s="15">
        <f t="shared" si="50"/>
        <v>22</v>
      </c>
      <c r="Q164" s="69">
        <v>55000</v>
      </c>
      <c r="R164" s="69">
        <f t="shared" si="51"/>
        <v>0</v>
      </c>
      <c r="S164" s="69">
        <f t="shared" si="47"/>
        <v>670475.52000000002</v>
      </c>
      <c r="T164" s="69">
        <v>3500000</v>
      </c>
      <c r="U164" s="69">
        <f t="shared" si="48"/>
        <v>18200000</v>
      </c>
      <c r="V164" s="69">
        <f t="shared" si="49"/>
        <v>0</v>
      </c>
      <c r="W164" s="69">
        <v>1142400</v>
      </c>
      <c r="X164" s="69">
        <f t="shared" si="52"/>
        <v>8800000</v>
      </c>
      <c r="Y164" s="95">
        <f t="shared" si="46"/>
        <v>0</v>
      </c>
    </row>
    <row r="165" spans="16:25" x14ac:dyDescent="0.25">
      <c r="P165" s="15">
        <f t="shared" si="50"/>
        <v>23</v>
      </c>
      <c r="Q165" s="69">
        <v>60000</v>
      </c>
      <c r="R165" s="69">
        <f t="shared" si="51"/>
        <v>0</v>
      </c>
      <c r="S165" s="69">
        <f t="shared" si="47"/>
        <v>670475.52000000002</v>
      </c>
      <c r="T165" s="69">
        <v>3500000</v>
      </c>
      <c r="U165" s="69">
        <f t="shared" si="48"/>
        <v>19950000</v>
      </c>
      <c r="V165" s="69">
        <f t="shared" si="49"/>
        <v>0</v>
      </c>
      <c r="W165" s="69">
        <v>1142400</v>
      </c>
      <c r="X165" s="69">
        <f t="shared" si="52"/>
        <v>9600000</v>
      </c>
      <c r="Y165" s="95">
        <f t="shared" si="46"/>
        <v>0</v>
      </c>
    </row>
    <row r="166" spans="16:25" x14ac:dyDescent="0.25">
      <c r="P166" s="15">
        <f t="shared" si="50"/>
        <v>24</v>
      </c>
      <c r="Q166" s="69">
        <v>65000</v>
      </c>
      <c r="R166" s="69">
        <f t="shared" si="51"/>
        <v>0</v>
      </c>
      <c r="S166" s="69">
        <f t="shared" si="47"/>
        <v>670475.52000000002</v>
      </c>
      <c r="T166" s="69">
        <v>3500000</v>
      </c>
      <c r="U166" s="69">
        <f t="shared" si="48"/>
        <v>21700000</v>
      </c>
      <c r="V166" s="69">
        <f t="shared" si="49"/>
        <v>0</v>
      </c>
      <c r="W166" s="69">
        <v>1142400</v>
      </c>
      <c r="X166" s="69">
        <f t="shared" si="52"/>
        <v>10400000</v>
      </c>
      <c r="Y166" s="95">
        <f t="shared" si="46"/>
        <v>0</v>
      </c>
    </row>
    <row r="167" spans="16:25" x14ac:dyDescent="0.25">
      <c r="P167" s="15">
        <f t="shared" si="50"/>
        <v>25</v>
      </c>
      <c r="Q167" s="69">
        <v>70000</v>
      </c>
      <c r="R167" s="69">
        <f t="shared" si="51"/>
        <v>0</v>
      </c>
      <c r="S167" s="69">
        <f t="shared" si="47"/>
        <v>670475.52000000002</v>
      </c>
      <c r="T167" s="69">
        <v>3500000</v>
      </c>
      <c r="U167" s="69">
        <f t="shared" si="48"/>
        <v>23450000</v>
      </c>
      <c r="V167" s="69">
        <f t="shared" si="49"/>
        <v>0</v>
      </c>
      <c r="W167" s="69">
        <v>1142400</v>
      </c>
      <c r="X167" s="69">
        <f t="shared" si="52"/>
        <v>11200000</v>
      </c>
      <c r="Y167" s="95">
        <f t="shared" si="46"/>
        <v>0</v>
      </c>
    </row>
    <row r="168" spans="16:25" x14ac:dyDescent="0.25">
      <c r="P168" s="15">
        <f t="shared" si="50"/>
        <v>26</v>
      </c>
      <c r="Q168" s="69">
        <v>75000</v>
      </c>
      <c r="R168" s="69">
        <f t="shared" si="51"/>
        <v>0</v>
      </c>
      <c r="S168" s="69">
        <f t="shared" si="47"/>
        <v>670475.52000000002</v>
      </c>
      <c r="T168" s="69">
        <v>3500000</v>
      </c>
      <c r="U168" s="69">
        <f t="shared" si="48"/>
        <v>25200000</v>
      </c>
      <c r="V168" s="69">
        <f t="shared" si="49"/>
        <v>0</v>
      </c>
      <c r="W168" s="69">
        <v>1142400</v>
      </c>
      <c r="X168" s="69">
        <f t="shared" si="52"/>
        <v>12000000</v>
      </c>
      <c r="Y168" s="95">
        <f t="shared" si="46"/>
        <v>0</v>
      </c>
    </row>
    <row r="169" spans="16:25" x14ac:dyDescent="0.25">
      <c r="P169" s="15">
        <f t="shared" si="50"/>
        <v>27</v>
      </c>
      <c r="Q169" s="69">
        <v>80000</v>
      </c>
      <c r="R169" s="69">
        <f t="shared" si="51"/>
        <v>0</v>
      </c>
      <c r="S169" s="69">
        <f t="shared" si="47"/>
        <v>670475.52000000002</v>
      </c>
      <c r="T169" s="69">
        <v>3500000</v>
      </c>
      <c r="U169" s="69">
        <f t="shared" si="48"/>
        <v>26950000</v>
      </c>
      <c r="V169" s="69">
        <f t="shared" si="49"/>
        <v>0</v>
      </c>
      <c r="W169" s="69">
        <v>1142400</v>
      </c>
      <c r="X169" s="69">
        <f t="shared" si="52"/>
        <v>12800000</v>
      </c>
      <c r="Y169" s="95">
        <f t="shared" si="46"/>
        <v>0</v>
      </c>
    </row>
    <row r="170" spans="16:25" x14ac:dyDescent="0.25">
      <c r="P170" s="15">
        <f t="shared" si="50"/>
        <v>28</v>
      </c>
      <c r="Q170" s="69">
        <v>85000</v>
      </c>
      <c r="R170" s="69">
        <f t="shared" si="51"/>
        <v>0</v>
      </c>
      <c r="S170" s="69">
        <f t="shared" si="47"/>
        <v>670475.52000000002</v>
      </c>
      <c r="T170" s="69">
        <v>3500000</v>
      </c>
      <c r="U170" s="69">
        <f t="shared" si="48"/>
        <v>28700000</v>
      </c>
      <c r="V170" s="69">
        <f t="shared" si="49"/>
        <v>0</v>
      </c>
      <c r="W170" s="69">
        <v>1142400</v>
      </c>
      <c r="X170" s="69">
        <f t="shared" si="52"/>
        <v>13600000</v>
      </c>
      <c r="Y170" s="95">
        <f t="shared" si="46"/>
        <v>0</v>
      </c>
    </row>
    <row r="171" spans="16:25" x14ac:dyDescent="0.25">
      <c r="P171" s="15">
        <f t="shared" si="50"/>
        <v>29</v>
      </c>
      <c r="Q171" s="69">
        <v>90000</v>
      </c>
      <c r="R171" s="69">
        <f t="shared" si="51"/>
        <v>0</v>
      </c>
      <c r="S171" s="69">
        <f t="shared" si="47"/>
        <v>670475.52000000002</v>
      </c>
      <c r="T171" s="69">
        <v>3500000</v>
      </c>
      <c r="U171" s="69">
        <f t="shared" si="48"/>
        <v>30450000</v>
      </c>
      <c r="V171" s="69">
        <f t="shared" si="49"/>
        <v>0</v>
      </c>
      <c r="W171" s="69">
        <v>1142400</v>
      </c>
      <c r="X171" s="69">
        <f t="shared" si="52"/>
        <v>14400000</v>
      </c>
      <c r="Y171" s="95">
        <f t="shared" si="46"/>
        <v>0</v>
      </c>
    </row>
    <row r="172" spans="16:25" x14ac:dyDescent="0.25">
      <c r="P172" s="15">
        <f t="shared" si="50"/>
        <v>30</v>
      </c>
      <c r="Q172" s="69">
        <v>95000</v>
      </c>
      <c r="R172" s="69">
        <f t="shared" si="51"/>
        <v>0</v>
      </c>
      <c r="S172" s="69">
        <f t="shared" si="47"/>
        <v>670475.52000000002</v>
      </c>
      <c r="T172" s="69">
        <v>3500000</v>
      </c>
      <c r="U172" s="69">
        <f t="shared" si="48"/>
        <v>32200000</v>
      </c>
      <c r="V172" s="69">
        <f t="shared" si="49"/>
        <v>0</v>
      </c>
      <c r="W172" s="69">
        <v>1142400</v>
      </c>
      <c r="X172" s="69">
        <f t="shared" si="52"/>
        <v>15200000</v>
      </c>
      <c r="Y172" s="95">
        <f t="shared" si="46"/>
        <v>0</v>
      </c>
    </row>
    <row r="173" spans="16:25" ht="15.75" thickBot="1" x14ac:dyDescent="0.3">
      <c r="P173" s="16">
        <f t="shared" si="50"/>
        <v>31</v>
      </c>
      <c r="Q173" s="72">
        <v>100000</v>
      </c>
      <c r="R173" s="72">
        <f t="shared" si="51"/>
        <v>0</v>
      </c>
      <c r="S173" s="72">
        <f t="shared" si="47"/>
        <v>670475.52000000002</v>
      </c>
      <c r="T173" s="72">
        <v>3500000</v>
      </c>
      <c r="U173" s="72">
        <f t="shared" si="48"/>
        <v>33950000</v>
      </c>
      <c r="V173" s="72">
        <f t="shared" si="49"/>
        <v>0</v>
      </c>
      <c r="W173" s="72">
        <v>1142400</v>
      </c>
      <c r="X173" s="72">
        <f t="shared" si="52"/>
        <v>16000000</v>
      </c>
      <c r="Y173" s="96">
        <f t="shared" si="46"/>
        <v>0</v>
      </c>
    </row>
    <row r="174" spans="16:25" ht="15.75" thickTop="1" x14ac:dyDescent="0.25"/>
  </sheetData>
  <sortState xmlns:xlrd2="http://schemas.microsoft.com/office/spreadsheetml/2017/richdata2" ref="P3:W18">
    <sortCondition ref="P18"/>
  </sortState>
  <mergeCells count="53">
    <mergeCell ref="A45:K45"/>
    <mergeCell ref="P71:W71"/>
    <mergeCell ref="B1:L1"/>
    <mergeCell ref="F7:G7"/>
    <mergeCell ref="F10:H10"/>
    <mergeCell ref="F23:H23"/>
    <mergeCell ref="D10:E10"/>
    <mergeCell ref="D11:E11"/>
    <mergeCell ref="D12:E12"/>
    <mergeCell ref="D18:E18"/>
    <mergeCell ref="D17:E17"/>
    <mergeCell ref="D16:E16"/>
    <mergeCell ref="D15:E15"/>
    <mergeCell ref="D14:E14"/>
    <mergeCell ref="D20:E20"/>
    <mergeCell ref="A24:E24"/>
    <mergeCell ref="A34:E34"/>
    <mergeCell ref="F34:H34"/>
    <mergeCell ref="A37:K37"/>
    <mergeCell ref="A21:H21"/>
    <mergeCell ref="F31:H31"/>
    <mergeCell ref="F24:H24"/>
    <mergeCell ref="F25:H25"/>
    <mergeCell ref="F26:H26"/>
    <mergeCell ref="F27:H27"/>
    <mergeCell ref="F28:H28"/>
    <mergeCell ref="A33:E33"/>
    <mergeCell ref="A28:E28"/>
    <mergeCell ref="A27:E27"/>
    <mergeCell ref="A26:E26"/>
    <mergeCell ref="A25:E25"/>
    <mergeCell ref="A31:E31"/>
    <mergeCell ref="A38:K38"/>
    <mergeCell ref="A36:K36"/>
    <mergeCell ref="A41:K41"/>
    <mergeCell ref="A39:K39"/>
    <mergeCell ref="A35:K35"/>
    <mergeCell ref="D19:E19"/>
    <mergeCell ref="P106:W106"/>
    <mergeCell ref="P141:W141"/>
    <mergeCell ref="A44:K44"/>
    <mergeCell ref="D13:E13"/>
    <mergeCell ref="A29:E29"/>
    <mergeCell ref="A30:E30"/>
    <mergeCell ref="A32:E32"/>
    <mergeCell ref="F33:H33"/>
    <mergeCell ref="A23:E23"/>
    <mergeCell ref="F29:H29"/>
    <mergeCell ref="F30:H30"/>
    <mergeCell ref="F32:H32"/>
    <mergeCell ref="A43:K43"/>
    <mergeCell ref="A42:K42"/>
    <mergeCell ref="A40:K40"/>
  </mergeCells>
  <phoneticPr fontId="13" type="noConversion"/>
  <printOptions horizontalCentered="1"/>
  <pageMargins left="0.10416666666666667" right="0" top="6.25E-2" bottom="0" header="0.3" footer="0.3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8"/>
  <sheetViews>
    <sheetView workbookViewId="0">
      <selection activeCell="B18" sqref="B18"/>
    </sheetView>
  </sheetViews>
  <sheetFormatPr defaultRowHeight="15" x14ac:dyDescent="0.25"/>
  <cols>
    <col min="1" max="1" width="38.28515625" bestFit="1" customWidth="1"/>
    <col min="2" max="3" width="16.5703125" bestFit="1" customWidth="1"/>
  </cols>
  <sheetData>
    <row r="1" spans="1:3" x14ac:dyDescent="0.25">
      <c r="A1" t="s">
        <v>153</v>
      </c>
    </row>
    <row r="3" spans="1:3" x14ac:dyDescent="0.25">
      <c r="A3" s="2" t="s">
        <v>154</v>
      </c>
      <c r="B3" s="2" t="s">
        <v>155</v>
      </c>
      <c r="C3" s="2" t="s">
        <v>156</v>
      </c>
    </row>
    <row r="4" spans="1:3" x14ac:dyDescent="0.25">
      <c r="A4" s="2" t="s">
        <v>157</v>
      </c>
      <c r="B4" s="85">
        <v>1217000</v>
      </c>
      <c r="C4" s="85">
        <v>5842500</v>
      </c>
    </row>
    <row r="5" spans="1:3" x14ac:dyDescent="0.25">
      <c r="A5" s="2" t="s">
        <v>158</v>
      </c>
      <c r="B5" s="85">
        <v>1792437</v>
      </c>
      <c r="C5" s="85">
        <v>5557563</v>
      </c>
    </row>
    <row r="6" spans="1:3" x14ac:dyDescent="0.25">
      <c r="A6" s="2" t="s">
        <v>159</v>
      </c>
      <c r="B6" s="85">
        <v>3876024</v>
      </c>
      <c r="C6" s="85">
        <v>12266476.439999999</v>
      </c>
    </row>
    <row r="7" spans="1:3" x14ac:dyDescent="0.25">
      <c r="A7" s="2" t="s">
        <v>160</v>
      </c>
      <c r="B7" s="85">
        <v>1238333</v>
      </c>
      <c r="C7" s="85">
        <v>4604167</v>
      </c>
    </row>
    <row r="8" spans="1:3" x14ac:dyDescent="0.25">
      <c r="A8" s="2" t="s">
        <v>161</v>
      </c>
      <c r="B8" s="85">
        <v>2098838.3677327465</v>
      </c>
      <c r="C8" s="85">
        <v>10416661.632267252</v>
      </c>
    </row>
    <row r="9" spans="1:3" x14ac:dyDescent="0.25">
      <c r="A9" s="2" t="s">
        <v>162</v>
      </c>
      <c r="B9" s="85">
        <v>10444444.431374805</v>
      </c>
      <c r="C9" s="85">
        <v>33055555.568625197</v>
      </c>
    </row>
    <row r="11" spans="1:3" x14ac:dyDescent="0.25">
      <c r="A11" t="s">
        <v>163</v>
      </c>
    </row>
    <row r="12" spans="1:3" x14ac:dyDescent="0.25">
      <c r="A12" s="2" t="s">
        <v>154</v>
      </c>
      <c r="B12" s="2" t="s">
        <v>155</v>
      </c>
      <c r="C12" s="2" t="s">
        <v>156</v>
      </c>
    </row>
    <row r="13" spans="1:3" x14ac:dyDescent="0.25">
      <c r="A13" s="2" t="s">
        <v>164</v>
      </c>
      <c r="B13" s="85">
        <v>2000000</v>
      </c>
      <c r="C13" s="2" t="s">
        <v>165</v>
      </c>
    </row>
    <row r="14" spans="1:3" x14ac:dyDescent="0.25">
      <c r="A14" s="2" t="s">
        <v>166</v>
      </c>
      <c r="B14" s="85">
        <v>4000000</v>
      </c>
      <c r="C14" s="2" t="s">
        <v>165</v>
      </c>
    </row>
    <row r="15" spans="1:3" x14ac:dyDescent="0.25">
      <c r="A15" s="2" t="s">
        <v>167</v>
      </c>
      <c r="B15" s="85">
        <v>10423282.194444444</v>
      </c>
      <c r="C15" s="85">
        <v>55555555.555555552</v>
      </c>
    </row>
    <row r="16" spans="1:3" x14ac:dyDescent="0.25">
      <c r="B16" s="86">
        <f>+SUM(B4:B15)</f>
        <v>37090358.993551999</v>
      </c>
    </row>
    <row r="17" spans="2:2" x14ac:dyDescent="0.25">
      <c r="B17">
        <v>440372</v>
      </c>
    </row>
    <row r="18" spans="2:2" x14ac:dyDescent="0.25">
      <c r="B18">
        <f>+B16/B17</f>
        <v>84.225061978400078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K56"/>
  <sheetViews>
    <sheetView showGridLines="0" view="pageLayout" topLeftCell="A31" zoomScale="115" zoomScaleNormal="100" zoomScalePageLayoutView="115" workbookViewId="0">
      <selection activeCell="J49" sqref="J49"/>
    </sheetView>
  </sheetViews>
  <sheetFormatPr defaultRowHeight="15" x14ac:dyDescent="0.25"/>
  <cols>
    <col min="1" max="1" width="8.7109375" customWidth="1"/>
    <col min="2" max="2" width="14.28515625" customWidth="1"/>
    <col min="3" max="3" width="2.28515625" customWidth="1"/>
    <col min="4" max="4" width="6.5703125" customWidth="1"/>
    <col min="5" max="8" width="4.85546875" customWidth="1"/>
    <col min="9" max="9" width="18.28515625" customWidth="1"/>
    <col min="10" max="10" width="13.42578125" customWidth="1"/>
    <col min="11" max="11" width="19" customWidth="1"/>
  </cols>
  <sheetData>
    <row r="10" spans="1:11" ht="21" x14ac:dyDescent="0.25">
      <c r="A10" s="180" t="s">
        <v>54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</row>
    <row r="12" spans="1:11" x14ac:dyDescent="0.25">
      <c r="B12" s="42" t="s">
        <v>31</v>
      </c>
      <c r="C12" s="42" t="s">
        <v>2</v>
      </c>
      <c r="D12" s="42" t="s">
        <v>209</v>
      </c>
    </row>
    <row r="13" spans="1:11" x14ac:dyDescent="0.25">
      <c r="B13" s="42" t="s">
        <v>55</v>
      </c>
      <c r="C13" s="42" t="s">
        <v>2</v>
      </c>
      <c r="D13" s="42" t="str">
        <f>+SEWN!F2</f>
        <v>PT. Natural Indococonut</v>
      </c>
    </row>
    <row r="14" spans="1:11" x14ac:dyDescent="0.25">
      <c r="B14" s="47"/>
      <c r="C14" s="42"/>
      <c r="D14" s="47" t="str">
        <f>+SEWN!$F$3</f>
        <v>Bapak Steven</v>
      </c>
    </row>
    <row r="16" spans="1:11" x14ac:dyDescent="0.25">
      <c r="B16" s="42" t="s">
        <v>56</v>
      </c>
    </row>
    <row r="17" spans="2:11" x14ac:dyDescent="0.25">
      <c r="B17" s="42" t="s">
        <v>57</v>
      </c>
    </row>
    <row r="18" spans="2:11" ht="15.75" thickBot="1" x14ac:dyDescent="0.3"/>
    <row r="19" spans="2:11" ht="16.5" thickTop="1" thickBot="1" x14ac:dyDescent="0.3">
      <c r="B19" s="181" t="s">
        <v>58</v>
      </c>
      <c r="C19" s="182"/>
      <c r="D19" s="182"/>
      <c r="E19" s="182"/>
      <c r="F19" s="182"/>
      <c r="G19" s="182"/>
      <c r="H19" s="182"/>
      <c r="I19" s="182"/>
      <c r="J19" s="182" t="s">
        <v>33</v>
      </c>
      <c r="K19" s="183"/>
    </row>
    <row r="20" spans="2:11" ht="15.75" thickTop="1" x14ac:dyDescent="0.25">
      <c r="B20" s="49" t="str">
        <f>+SEWN!F4</f>
        <v>PAPER BAG 50 KG Polos</v>
      </c>
      <c r="C20" s="43"/>
      <c r="D20" s="43"/>
      <c r="E20" s="43"/>
      <c r="F20" s="43"/>
      <c r="G20" s="43"/>
      <c r="H20" s="43"/>
      <c r="I20" s="43"/>
      <c r="J20" s="52"/>
      <c r="K20" s="53"/>
    </row>
    <row r="21" spans="2:11" x14ac:dyDescent="0.25">
      <c r="B21" s="50" t="s">
        <v>75</v>
      </c>
      <c r="C21" t="s">
        <v>2</v>
      </c>
      <c r="D21" s="18">
        <f>+SEWN!F6</f>
        <v>1200</v>
      </c>
      <c r="E21" s="18" t="s">
        <v>76</v>
      </c>
      <c r="F21" s="18">
        <f>+SEWN!G6</f>
        <v>500</v>
      </c>
      <c r="G21" s="18" t="s">
        <v>76</v>
      </c>
      <c r="H21" s="18">
        <f>+SEWN!H6</f>
        <v>200</v>
      </c>
      <c r="I21" t="s">
        <v>77</v>
      </c>
      <c r="J21" s="54"/>
      <c r="K21" s="55"/>
    </row>
    <row r="22" spans="2:11" x14ac:dyDescent="0.25">
      <c r="B22" s="44" t="s">
        <v>14</v>
      </c>
      <c r="C22" s="43" t="s">
        <v>2</v>
      </c>
      <c r="D22" s="43"/>
      <c r="E22" s="43"/>
      <c r="F22" s="43"/>
      <c r="G22" s="43"/>
      <c r="H22" s="43"/>
      <c r="I22" s="43"/>
      <c r="J22" s="54"/>
      <c r="K22" s="55"/>
    </row>
    <row r="23" spans="2:11" x14ac:dyDescent="0.25">
      <c r="B23" s="44" t="s">
        <v>69</v>
      </c>
      <c r="C23" s="43" t="s">
        <v>2</v>
      </c>
      <c r="D23" s="60" t="str">
        <f>+VLOOKUP(SEWN!C11,SEWN!$P$3:$W$69,3,FALSE)</f>
        <v>Brown Sack Kraft</v>
      </c>
      <c r="E23" s="43"/>
      <c r="F23" s="43"/>
      <c r="G23" s="43"/>
      <c r="H23" s="43">
        <f>+VLOOKUP(SEWN!C11,SEWN!$P$3:$W$69,4,FALSE)</f>
        <v>80</v>
      </c>
      <c r="I23" s="43" t="s">
        <v>70</v>
      </c>
      <c r="J23" s="54"/>
      <c r="K23" s="55"/>
    </row>
    <row r="24" spans="2:11" x14ac:dyDescent="0.25">
      <c r="B24" s="44" t="s">
        <v>71</v>
      </c>
      <c r="C24" s="43" t="s">
        <v>2</v>
      </c>
      <c r="D24" s="60" t="str">
        <f>+VLOOKUP(SEWN!C12,SEWN!$P$3:$W$69,3,FALSE)</f>
        <v>Brown Sack Kraft</v>
      </c>
      <c r="E24" s="43"/>
      <c r="F24" s="43"/>
      <c r="G24" s="43"/>
      <c r="H24" s="43">
        <f>+VLOOKUP(SEWN!C12,SEWN!$P$3:$W$69,4,FALSE)</f>
        <v>80</v>
      </c>
      <c r="I24" s="43" t="s">
        <v>70</v>
      </c>
      <c r="J24" s="54"/>
      <c r="K24" s="55"/>
    </row>
    <row r="25" spans="2:11" x14ac:dyDescent="0.25">
      <c r="B25" s="44" t="s">
        <v>73</v>
      </c>
      <c r="C25" s="43" t="s">
        <v>2</v>
      </c>
      <c r="D25" s="60" t="str">
        <f>+VLOOKUP(SEWN!C13,SEWN!$P$3:$W$69,3,FALSE)</f>
        <v>Brown Sack Kraft</v>
      </c>
      <c r="E25" s="43"/>
      <c r="F25" s="43"/>
      <c r="G25" s="43"/>
      <c r="H25" s="43">
        <f>+VLOOKUP(SEWN!C13,SEWN!$P$3:$W$69,4,FALSE)</f>
        <v>80</v>
      </c>
      <c r="I25" s="43" t="s">
        <v>70</v>
      </c>
      <c r="J25" s="58">
        <f>+SEWN!L43</f>
        <v>6000</v>
      </c>
      <c r="K25" s="59" t="s">
        <v>82</v>
      </c>
    </row>
    <row r="26" spans="2:11" x14ac:dyDescent="0.25">
      <c r="B26" s="44" t="s">
        <v>74</v>
      </c>
      <c r="C26" s="43" t="s">
        <v>2</v>
      </c>
      <c r="D26" s="60">
        <f>+VLOOKUP(SEWN!C14,SEWN!$P$3:$W$69,3,FALSE)</f>
        <v>0</v>
      </c>
      <c r="E26" s="43"/>
      <c r="F26" s="43"/>
      <c r="G26" s="43"/>
      <c r="H26" s="43">
        <f>+VLOOKUP(SEWN!C14,SEWN!$P$3:$W$69,4,FALSE)</f>
        <v>0</v>
      </c>
      <c r="I26" s="43" t="s">
        <v>70</v>
      </c>
      <c r="J26" s="58"/>
      <c r="K26" s="59"/>
    </row>
    <row r="27" spans="2:11" x14ac:dyDescent="0.25">
      <c r="B27" s="44" t="s">
        <v>168</v>
      </c>
      <c r="C27" s="43" t="s">
        <v>2</v>
      </c>
      <c r="D27" s="60">
        <f>+VLOOKUP(SEWN!C15,SEWN!$P$3:$W$69,3,FALSE)</f>
        <v>0</v>
      </c>
      <c r="E27" s="43"/>
      <c r="F27" s="43"/>
      <c r="G27" s="43"/>
      <c r="H27" s="43">
        <f>+VLOOKUP(SEWN!C15,SEWN!$P$3:$W$69,4,FALSE)</f>
        <v>0</v>
      </c>
      <c r="I27" s="43" t="s">
        <v>72</v>
      </c>
      <c r="J27" s="54"/>
      <c r="K27" s="55"/>
    </row>
    <row r="28" spans="2:11" x14ac:dyDescent="0.25">
      <c r="B28" s="44"/>
      <c r="C28" s="43"/>
      <c r="D28" s="60">
        <f>IF($D$27&gt;0,SEWN!H15,0)</f>
        <v>0</v>
      </c>
      <c r="E28" s="51" t="s">
        <v>76</v>
      </c>
      <c r="F28" s="51">
        <f>IF($D$27&gt;0,SEWN!G6,0)</f>
        <v>0</v>
      </c>
      <c r="G28" s="51" t="s">
        <v>76</v>
      </c>
      <c r="H28" s="51">
        <f>IF($D$27&gt;0,SEWN!I6,0)</f>
        <v>0</v>
      </c>
      <c r="I28" s="43" t="s">
        <v>77</v>
      </c>
      <c r="J28" s="54"/>
      <c r="K28" s="55"/>
    </row>
    <row r="29" spans="2:11" x14ac:dyDescent="0.25">
      <c r="B29" s="44" t="s">
        <v>78</v>
      </c>
      <c r="C29" s="43" t="s">
        <v>2</v>
      </c>
      <c r="D29" s="60">
        <f>+SEWN!F9</f>
        <v>0</v>
      </c>
      <c r="E29" s="43" t="s">
        <v>29</v>
      </c>
      <c r="F29" s="43"/>
      <c r="G29" s="43"/>
      <c r="H29" s="43"/>
      <c r="I29" s="43"/>
      <c r="J29" s="54"/>
      <c r="K29" s="55"/>
    </row>
    <row r="30" spans="2:11" x14ac:dyDescent="0.25">
      <c r="B30" s="44" t="s">
        <v>79</v>
      </c>
      <c r="C30" s="43" t="s">
        <v>2</v>
      </c>
      <c r="D30" s="43" t="str">
        <f>+SEWN!F5</f>
        <v>SEOG</v>
      </c>
      <c r="E30" s="43"/>
      <c r="F30" s="43"/>
      <c r="G30" s="43"/>
      <c r="H30" s="43"/>
      <c r="I30" s="43"/>
      <c r="J30" s="54"/>
      <c r="K30" s="55"/>
    </row>
    <row r="31" spans="2:11" x14ac:dyDescent="0.25">
      <c r="B31" s="44" t="s">
        <v>80</v>
      </c>
      <c r="C31" s="43" t="s">
        <v>2</v>
      </c>
      <c r="D31" s="184">
        <f>+SEWN!F8</f>
        <v>5000</v>
      </c>
      <c r="E31" s="184"/>
      <c r="F31" s="43" t="s">
        <v>81</v>
      </c>
      <c r="G31" s="43"/>
      <c r="H31" s="43"/>
      <c r="I31" s="43"/>
      <c r="J31" s="54"/>
      <c r="K31" s="55"/>
    </row>
    <row r="32" spans="2:11" ht="15.75" thickBot="1" x14ac:dyDescent="0.3">
      <c r="B32" s="45"/>
      <c r="C32" s="46"/>
      <c r="D32" s="46"/>
      <c r="E32" s="46"/>
      <c r="F32" s="46"/>
      <c r="G32" s="46"/>
      <c r="H32" s="46"/>
      <c r="I32" s="46"/>
      <c r="J32" s="56"/>
      <c r="K32" s="57"/>
    </row>
    <row r="33" spans="2:11" ht="15.75" thickTop="1" x14ac:dyDescent="0.25"/>
    <row r="34" spans="2:11" x14ac:dyDescent="0.25">
      <c r="B34" s="42" t="s">
        <v>59</v>
      </c>
      <c r="C34" s="42"/>
      <c r="D34" s="42"/>
    </row>
    <row r="35" spans="2:11" x14ac:dyDescent="0.25">
      <c r="B35" s="42" t="s">
        <v>60</v>
      </c>
      <c r="C35" s="42"/>
      <c r="D35" s="42"/>
    </row>
    <row r="36" spans="2:11" x14ac:dyDescent="0.25">
      <c r="B36" s="42" t="s">
        <v>61</v>
      </c>
      <c r="C36" s="42"/>
      <c r="D36" s="42"/>
    </row>
    <row r="37" spans="2:11" x14ac:dyDescent="0.25">
      <c r="B37" s="42" t="s">
        <v>62</v>
      </c>
      <c r="C37" s="42"/>
      <c r="D37" s="42"/>
    </row>
    <row r="38" spans="2:11" x14ac:dyDescent="0.25">
      <c r="B38" s="42" t="s">
        <v>63</v>
      </c>
      <c r="C38" s="42"/>
      <c r="D38" s="42"/>
    </row>
    <row r="39" spans="2:11" x14ac:dyDescent="0.25">
      <c r="B39" s="42" t="s">
        <v>194</v>
      </c>
      <c r="C39" s="42"/>
      <c r="D39" s="42"/>
    </row>
    <row r="40" spans="2:11" x14ac:dyDescent="0.25">
      <c r="B40" s="42" t="s">
        <v>195</v>
      </c>
      <c r="C40" s="42"/>
      <c r="D40" s="42"/>
    </row>
    <row r="41" spans="2:11" x14ac:dyDescent="0.25">
      <c r="B41" s="42" t="s">
        <v>196</v>
      </c>
      <c r="C41" s="42"/>
      <c r="D41" s="42"/>
    </row>
    <row r="42" spans="2:11" x14ac:dyDescent="0.25">
      <c r="B42" s="42"/>
      <c r="C42" s="42"/>
      <c r="D42" s="42"/>
    </row>
    <row r="43" spans="2:11" x14ac:dyDescent="0.25">
      <c r="B43" t="s">
        <v>64</v>
      </c>
    </row>
    <row r="44" spans="2:11" x14ac:dyDescent="0.25">
      <c r="B44" s="42" t="s">
        <v>65</v>
      </c>
    </row>
    <row r="45" spans="2:11" x14ac:dyDescent="0.25">
      <c r="B45" s="48" t="s">
        <v>66</v>
      </c>
    </row>
    <row r="47" spans="2:11" x14ac:dyDescent="0.25">
      <c r="B47" s="47"/>
      <c r="J47" s="47" t="s">
        <v>83</v>
      </c>
      <c r="K47" s="89">
        <f>+SEWN!F7</f>
        <v>45433</v>
      </c>
    </row>
    <row r="48" spans="2:11" x14ac:dyDescent="0.25">
      <c r="B48" s="47"/>
      <c r="J48" s="47" t="s">
        <v>67</v>
      </c>
    </row>
    <row r="49" spans="2:10" x14ac:dyDescent="0.25">
      <c r="B49" s="42"/>
      <c r="J49" s="42" t="s">
        <v>234</v>
      </c>
    </row>
    <row r="56" spans="2:10" x14ac:dyDescent="0.25">
      <c r="B56" s="42"/>
      <c r="J56" s="42" t="s">
        <v>68</v>
      </c>
    </row>
  </sheetData>
  <mergeCells count="4">
    <mergeCell ref="A10:K10"/>
    <mergeCell ref="B19:I19"/>
    <mergeCell ref="J19:K19"/>
    <mergeCell ref="D31:E31"/>
  </mergeCells>
  <phoneticPr fontId="13" type="noConversion"/>
  <pageMargins left="5.2083333333333336E-2" right="6.25E-2" top="7.2916666666666671E-2" bottom="6.25E-2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4"/>
  <sheetViews>
    <sheetView showWhiteSpace="0" topLeftCell="C1" zoomScaleNormal="100" workbookViewId="0">
      <selection activeCell="P3" sqref="P3:W16"/>
    </sheetView>
  </sheetViews>
  <sheetFormatPr defaultRowHeight="15" x14ac:dyDescent="0.25"/>
  <cols>
    <col min="1" max="1" width="11.85546875" bestFit="1" customWidth="1"/>
    <col min="2" max="2" width="21.28515625" customWidth="1"/>
    <col min="3" max="3" width="6" customWidth="1"/>
    <col min="4" max="4" width="4.7109375" customWidth="1"/>
    <col min="5" max="5" width="1.7109375" customWidth="1"/>
    <col min="6" max="6" width="6.5703125" style="18" customWidth="1"/>
    <col min="7" max="7" width="5.7109375" style="18" customWidth="1"/>
    <col min="8" max="8" width="7.28515625" style="18" customWidth="1"/>
    <col min="9" max="9" width="10.140625" customWidth="1"/>
    <col min="10" max="10" width="6.140625" customWidth="1"/>
    <col min="11" max="11" width="12.85546875" customWidth="1"/>
    <col min="12" max="12" width="16.28515625" bestFit="1" customWidth="1"/>
    <col min="13" max="13" width="12.140625" bestFit="1" customWidth="1"/>
    <col min="14" max="14" width="14.5703125" bestFit="1" customWidth="1"/>
    <col min="15" max="15" width="18.28515625" customWidth="1"/>
    <col min="16" max="16" width="6.7109375" bestFit="1" customWidth="1"/>
    <col min="17" max="17" width="17.7109375" bestFit="1" customWidth="1"/>
    <col min="18" max="18" width="23.42578125" customWidth="1"/>
    <col min="19" max="19" width="15.42578125" bestFit="1" customWidth="1"/>
    <col min="20" max="20" width="17.85546875" bestFit="1" customWidth="1"/>
    <col min="21" max="21" width="11.5703125" bestFit="1" customWidth="1"/>
    <col min="22" max="22" width="12.85546875" customWidth="1"/>
    <col min="23" max="24" width="11.5703125" bestFit="1" customWidth="1"/>
  </cols>
  <sheetData>
    <row r="1" spans="1:25" ht="24" thickBot="1" x14ac:dyDescent="0.4">
      <c r="B1" s="174" t="s">
        <v>0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9"/>
      <c r="N1" s="19"/>
      <c r="O1" s="19"/>
      <c r="R1" s="17" t="s">
        <v>7</v>
      </c>
      <c r="S1" s="17"/>
      <c r="T1" s="17"/>
      <c r="U1" s="17"/>
      <c r="V1" s="17"/>
    </row>
    <row r="2" spans="1:25" ht="13.5" customHeight="1" thickTop="1" x14ac:dyDescent="0.25">
      <c r="B2" s="1" t="s">
        <v>1</v>
      </c>
      <c r="C2" s="1"/>
      <c r="D2" s="1"/>
      <c r="E2" t="s">
        <v>2</v>
      </c>
      <c r="F2" s="28" t="s">
        <v>235</v>
      </c>
      <c r="G2" s="29"/>
      <c r="H2" s="29"/>
      <c r="P2" s="68" t="s">
        <v>47</v>
      </c>
      <c r="Q2" s="21" t="s">
        <v>14</v>
      </c>
      <c r="R2" s="20" t="s">
        <v>13</v>
      </c>
      <c r="S2" s="21" t="s">
        <v>26</v>
      </c>
      <c r="T2" s="21" t="s">
        <v>15</v>
      </c>
      <c r="U2" s="21" t="s">
        <v>24</v>
      </c>
      <c r="V2" s="21" t="s">
        <v>12</v>
      </c>
      <c r="W2" s="22" t="s">
        <v>16</v>
      </c>
    </row>
    <row r="3" spans="1:25" ht="13.5" customHeight="1" x14ac:dyDescent="0.25">
      <c r="B3" s="1" t="s">
        <v>92</v>
      </c>
      <c r="C3" s="1"/>
      <c r="D3" s="1"/>
      <c r="E3" t="s">
        <v>2</v>
      </c>
      <c r="F3" s="28" t="s">
        <v>236</v>
      </c>
      <c r="G3" s="29"/>
      <c r="H3" s="29"/>
      <c r="P3" s="37" t="s">
        <v>249</v>
      </c>
      <c r="Q3" s="152" t="s">
        <v>247</v>
      </c>
      <c r="R3" s="23" t="s">
        <v>248</v>
      </c>
      <c r="S3" s="69">
        <v>68</v>
      </c>
      <c r="T3" s="69">
        <v>6200</v>
      </c>
      <c r="U3" s="71">
        <f t="shared" ref="U3:U16" si="0">+T3*0.11</f>
        <v>682</v>
      </c>
      <c r="V3" s="71">
        <f t="shared" ref="V3:V16" si="1">+U3+T3</f>
        <v>6882</v>
      </c>
      <c r="W3" s="24" t="s">
        <v>18</v>
      </c>
    </row>
    <row r="4" spans="1:25" ht="13.5" customHeight="1" x14ac:dyDescent="0.25">
      <c r="B4" s="1" t="s">
        <v>3</v>
      </c>
      <c r="C4" s="1"/>
      <c r="D4" s="1"/>
      <c r="E4" t="s">
        <v>2</v>
      </c>
      <c r="F4" s="28" t="s">
        <v>237</v>
      </c>
      <c r="G4" s="29"/>
      <c r="H4" s="29"/>
      <c r="K4" s="66"/>
      <c r="L4" s="66"/>
      <c r="P4" s="37" t="s">
        <v>100</v>
      </c>
      <c r="Q4" s="152" t="s">
        <v>102</v>
      </c>
      <c r="R4" s="23" t="s">
        <v>181</v>
      </c>
      <c r="S4" s="69">
        <v>70</v>
      </c>
      <c r="T4" s="69">
        <f>17500+500</f>
        <v>18000</v>
      </c>
      <c r="U4" s="71">
        <f t="shared" si="0"/>
        <v>1980</v>
      </c>
      <c r="V4" s="71">
        <f t="shared" si="1"/>
        <v>19980</v>
      </c>
      <c r="W4" s="24" t="s">
        <v>18</v>
      </c>
    </row>
    <row r="5" spans="1:25" ht="13.5" customHeight="1" x14ac:dyDescent="0.25">
      <c r="B5" s="1" t="s">
        <v>4</v>
      </c>
      <c r="C5" s="1"/>
      <c r="D5" s="1"/>
      <c r="E5" t="s">
        <v>2</v>
      </c>
      <c r="F5" s="28" t="s">
        <v>52</v>
      </c>
      <c r="G5" s="29"/>
      <c r="H5" s="29"/>
      <c r="L5" s="127"/>
      <c r="N5" s="128"/>
      <c r="P5" s="37" t="s">
        <v>101</v>
      </c>
      <c r="Q5" s="152" t="s">
        <v>102</v>
      </c>
      <c r="R5" s="23" t="s">
        <v>181</v>
      </c>
      <c r="S5" s="69">
        <v>80</v>
      </c>
      <c r="T5" s="69">
        <f>17500+500</f>
        <v>18000</v>
      </c>
      <c r="U5" s="71">
        <f t="shared" si="0"/>
        <v>1980</v>
      </c>
      <c r="V5" s="71">
        <f t="shared" si="1"/>
        <v>19980</v>
      </c>
      <c r="W5" s="24" t="s">
        <v>18</v>
      </c>
    </row>
    <row r="6" spans="1:25" s="18" customFormat="1" ht="13.5" customHeight="1" x14ac:dyDescent="0.25">
      <c r="A6"/>
      <c r="B6" s="1" t="s">
        <v>21</v>
      </c>
      <c r="C6" s="1"/>
      <c r="D6" s="1"/>
      <c r="E6" t="s">
        <v>2</v>
      </c>
      <c r="F6" s="28">
        <v>640</v>
      </c>
      <c r="G6" s="29">
        <v>540</v>
      </c>
      <c r="H6" s="29">
        <v>120</v>
      </c>
      <c r="I6"/>
      <c r="J6"/>
      <c r="K6"/>
      <c r="L6" s="127"/>
      <c r="M6"/>
      <c r="N6"/>
      <c r="O6"/>
      <c r="P6" s="37" t="s">
        <v>207</v>
      </c>
      <c r="Q6" s="152" t="s">
        <v>98</v>
      </c>
      <c r="R6" s="23" t="s">
        <v>179</v>
      </c>
      <c r="S6" s="69">
        <v>70</v>
      </c>
      <c r="T6" s="69">
        <f>15780+500</f>
        <v>16280</v>
      </c>
      <c r="U6" s="71">
        <f t="shared" si="0"/>
        <v>1790.8</v>
      </c>
      <c r="V6" s="71">
        <f t="shared" si="1"/>
        <v>18070.8</v>
      </c>
      <c r="W6" s="24" t="s">
        <v>18</v>
      </c>
    </row>
    <row r="7" spans="1:25" ht="13.5" customHeight="1" x14ac:dyDescent="0.25">
      <c r="A7" s="18"/>
      <c r="B7" s="1" t="s">
        <v>5</v>
      </c>
      <c r="C7" s="1"/>
      <c r="D7" s="1"/>
      <c r="E7" t="s">
        <v>2</v>
      </c>
      <c r="F7" s="175">
        <v>45433</v>
      </c>
      <c r="G7" s="175"/>
      <c r="H7" s="29"/>
      <c r="I7" s="18"/>
      <c r="J7" s="18"/>
      <c r="K7" s="18"/>
      <c r="L7" s="10"/>
      <c r="M7" s="10"/>
      <c r="N7" s="10"/>
      <c r="O7" s="10"/>
      <c r="P7" s="37" t="s">
        <v>99</v>
      </c>
      <c r="Q7" s="152" t="s">
        <v>98</v>
      </c>
      <c r="R7" s="23" t="s">
        <v>179</v>
      </c>
      <c r="S7" s="69">
        <v>80</v>
      </c>
      <c r="T7" s="69">
        <f>15780+500</f>
        <v>16280</v>
      </c>
      <c r="U7" s="71">
        <f t="shared" si="0"/>
        <v>1790.8</v>
      </c>
      <c r="V7" s="71">
        <f t="shared" si="1"/>
        <v>18070.8</v>
      </c>
      <c r="W7" s="24" t="s">
        <v>18</v>
      </c>
      <c r="X7" s="18"/>
      <c r="Y7" s="18"/>
    </row>
    <row r="8" spans="1:25" ht="13.5" customHeight="1" x14ac:dyDescent="0.25">
      <c r="B8" s="1" t="s">
        <v>6</v>
      </c>
      <c r="C8" s="1"/>
      <c r="D8" s="1"/>
      <c r="E8" t="s">
        <v>2</v>
      </c>
      <c r="F8" s="28">
        <v>5000</v>
      </c>
      <c r="G8" s="29"/>
      <c r="H8" s="29"/>
      <c r="P8" s="37" t="s">
        <v>210</v>
      </c>
      <c r="Q8" s="152" t="s">
        <v>212</v>
      </c>
      <c r="R8" s="23" t="s">
        <v>179</v>
      </c>
      <c r="S8" s="69">
        <v>70</v>
      </c>
      <c r="T8" s="69">
        <f>16800+500</f>
        <v>17300</v>
      </c>
      <c r="U8" s="71">
        <f t="shared" si="0"/>
        <v>1903</v>
      </c>
      <c r="V8" s="71">
        <f t="shared" si="1"/>
        <v>19203</v>
      </c>
      <c r="W8" s="24" t="s">
        <v>18</v>
      </c>
      <c r="X8" s="18"/>
      <c r="Y8" s="18"/>
    </row>
    <row r="9" spans="1:25" ht="13.5" customHeight="1" thickBot="1" x14ac:dyDescent="0.3">
      <c r="B9" s="1" t="s">
        <v>28</v>
      </c>
      <c r="C9" s="1"/>
      <c r="D9" s="1"/>
      <c r="E9" t="s">
        <v>2</v>
      </c>
      <c r="F9" s="28">
        <v>0</v>
      </c>
      <c r="G9" s="29" t="s">
        <v>29</v>
      </c>
      <c r="H9" s="29"/>
      <c r="I9" s="124"/>
      <c r="P9" s="37" t="s">
        <v>211</v>
      </c>
      <c r="Q9" s="152" t="s">
        <v>212</v>
      </c>
      <c r="R9" s="23" t="s">
        <v>179</v>
      </c>
      <c r="S9" s="69">
        <v>80</v>
      </c>
      <c r="T9" s="69">
        <f>16800+500</f>
        <v>17300</v>
      </c>
      <c r="U9" s="71">
        <f t="shared" si="0"/>
        <v>1903</v>
      </c>
      <c r="V9" s="71">
        <f t="shared" si="1"/>
        <v>19203</v>
      </c>
      <c r="W9" s="24" t="s">
        <v>18</v>
      </c>
      <c r="X9" s="18"/>
      <c r="Y9" s="18"/>
    </row>
    <row r="10" spans="1:25" ht="13.5" customHeight="1" thickTop="1" x14ac:dyDescent="0.25">
      <c r="A10" s="39" t="s">
        <v>41</v>
      </c>
      <c r="B10" s="21" t="s">
        <v>8</v>
      </c>
      <c r="C10" s="21" t="s">
        <v>47</v>
      </c>
      <c r="D10" s="166" t="s">
        <v>26</v>
      </c>
      <c r="E10" s="166"/>
      <c r="F10" s="166" t="s">
        <v>9</v>
      </c>
      <c r="G10" s="166"/>
      <c r="H10" s="166"/>
      <c r="I10" s="21" t="s">
        <v>6</v>
      </c>
      <c r="J10" s="21" t="s">
        <v>10</v>
      </c>
      <c r="K10" s="21" t="s">
        <v>11</v>
      </c>
      <c r="L10" s="21" t="s">
        <v>12</v>
      </c>
      <c r="M10" s="21" t="s">
        <v>24</v>
      </c>
      <c r="N10" s="22" t="s">
        <v>25</v>
      </c>
      <c r="O10" s="11"/>
      <c r="P10" s="37" t="s">
        <v>96</v>
      </c>
      <c r="Q10" s="152" t="s">
        <v>86</v>
      </c>
      <c r="R10" s="23" t="s">
        <v>182</v>
      </c>
      <c r="S10" s="69">
        <v>70</v>
      </c>
      <c r="T10" s="69">
        <f>21700+500</f>
        <v>22200</v>
      </c>
      <c r="U10" s="71">
        <f t="shared" si="0"/>
        <v>2442</v>
      </c>
      <c r="V10" s="71">
        <f t="shared" si="1"/>
        <v>24642</v>
      </c>
      <c r="W10" s="24" t="s">
        <v>18</v>
      </c>
      <c r="X10" s="18"/>
      <c r="Y10" s="18"/>
    </row>
    <row r="11" spans="1:25" ht="13.5" customHeight="1" x14ac:dyDescent="0.25">
      <c r="A11" s="15" t="s">
        <v>42</v>
      </c>
      <c r="B11" s="3" t="str">
        <f t="shared" ref="B11:B20" si="2">+VLOOKUP(C11,$P$3:$W$69,2,FALSE)</f>
        <v>Australian Paper Reguler</v>
      </c>
      <c r="C11" s="61" t="s">
        <v>99</v>
      </c>
      <c r="D11" s="185">
        <f t="shared" ref="D11:D20" si="3">+VLOOKUP(C11,$P$3:$W$69,4,FALSE)</f>
        <v>80</v>
      </c>
      <c r="E11" s="185"/>
      <c r="F11" s="34">
        <f>+$G$6*2+30</f>
        <v>1110</v>
      </c>
      <c r="G11" s="5" t="s">
        <v>17</v>
      </c>
      <c r="H11" s="34">
        <f>+$F$6+$H$6</f>
        <v>760</v>
      </c>
      <c r="I11" s="36">
        <f>(F11*H11*D11)/1000000</f>
        <v>67.488</v>
      </c>
      <c r="J11" s="2" t="s">
        <v>27</v>
      </c>
      <c r="K11" s="3">
        <f t="shared" ref="K11:K19" si="4">+VLOOKUP(C11,$P$3:$W$69,5,FALSE)</f>
        <v>16280</v>
      </c>
      <c r="L11" s="4">
        <f>IF(D11&gt;0,K11*I11,0)/1000</f>
        <v>1098.7046399999999</v>
      </c>
      <c r="M11" s="4">
        <f>+L11*11%</f>
        <v>120.8575104</v>
      </c>
      <c r="N11" s="32">
        <f>+M11+L11</f>
        <v>1219.5621503999998</v>
      </c>
      <c r="O11" s="9"/>
      <c r="P11" s="37" t="s">
        <v>97</v>
      </c>
      <c r="Q11" s="152" t="s">
        <v>86</v>
      </c>
      <c r="R11" s="23" t="s">
        <v>182</v>
      </c>
      <c r="S11" s="69">
        <v>80</v>
      </c>
      <c r="T11" s="69">
        <f>21850+500</f>
        <v>22350</v>
      </c>
      <c r="U11" s="71">
        <f t="shared" si="0"/>
        <v>2458.5</v>
      </c>
      <c r="V11" s="71">
        <f t="shared" si="1"/>
        <v>24808.5</v>
      </c>
      <c r="W11" s="24" t="s">
        <v>18</v>
      </c>
      <c r="X11" s="18"/>
      <c r="Y11" s="18"/>
    </row>
    <row r="12" spans="1:25" ht="13.5" customHeight="1" x14ac:dyDescent="0.25">
      <c r="A12" s="15" t="s">
        <v>43</v>
      </c>
      <c r="B12" s="3" t="str">
        <f t="shared" si="2"/>
        <v>Australian Paper Reguler</v>
      </c>
      <c r="C12" s="61" t="s">
        <v>99</v>
      </c>
      <c r="D12" s="185">
        <f t="shared" si="3"/>
        <v>80</v>
      </c>
      <c r="E12" s="185"/>
      <c r="F12" s="34">
        <f t="shared" ref="F12:F15" si="5">+$G$6*2+30</f>
        <v>1110</v>
      </c>
      <c r="G12" s="5" t="s">
        <v>17</v>
      </c>
      <c r="H12" s="34">
        <f>+$F$6+$H$6+50</f>
        <v>810</v>
      </c>
      <c r="I12" s="36">
        <f>(F12*H12*D12)/1000000</f>
        <v>71.927999999999997</v>
      </c>
      <c r="J12" s="2" t="s">
        <v>27</v>
      </c>
      <c r="K12" s="3">
        <f t="shared" si="4"/>
        <v>16280</v>
      </c>
      <c r="L12" s="4">
        <f>IF(D12&gt;0,K12*I12,0)/1000</f>
        <v>1170.9878399999998</v>
      </c>
      <c r="M12" s="4">
        <f>+L12*11%</f>
        <v>128.80866239999997</v>
      </c>
      <c r="N12" s="32">
        <f>+M12+L12</f>
        <v>1299.7965023999998</v>
      </c>
      <c r="O12" s="9"/>
      <c r="P12" s="37" t="s">
        <v>202</v>
      </c>
      <c r="Q12" s="23" t="s">
        <v>201</v>
      </c>
      <c r="R12" s="23" t="s">
        <v>180</v>
      </c>
      <c r="S12" s="69">
        <v>72</v>
      </c>
      <c r="T12" s="82">
        <f>12500+500</f>
        <v>13000</v>
      </c>
      <c r="U12" s="71">
        <f t="shared" si="0"/>
        <v>1430</v>
      </c>
      <c r="V12" s="71">
        <f t="shared" si="1"/>
        <v>14430</v>
      </c>
      <c r="W12" s="24" t="s">
        <v>18</v>
      </c>
      <c r="X12" s="18"/>
      <c r="Y12" s="18"/>
    </row>
    <row r="13" spans="1:25" ht="13.5" customHeight="1" x14ac:dyDescent="0.25">
      <c r="A13" s="15" t="s">
        <v>43</v>
      </c>
      <c r="B13" s="3" t="str">
        <f t="shared" si="2"/>
        <v>Australian Paper Reguler</v>
      </c>
      <c r="C13" s="61" t="s">
        <v>99</v>
      </c>
      <c r="D13" s="185">
        <f t="shared" si="3"/>
        <v>80</v>
      </c>
      <c r="E13" s="185"/>
      <c r="F13" s="34">
        <f t="shared" si="5"/>
        <v>1110</v>
      </c>
      <c r="G13" s="5" t="s">
        <v>17</v>
      </c>
      <c r="H13" s="34">
        <f>+$F$6+$H$6+50</f>
        <v>810</v>
      </c>
      <c r="I13" s="36">
        <f>(F13*H13*D13)/1000000</f>
        <v>71.927999999999997</v>
      </c>
      <c r="J13" s="2" t="s">
        <v>27</v>
      </c>
      <c r="K13" s="3">
        <f t="shared" si="4"/>
        <v>16280</v>
      </c>
      <c r="L13" s="4">
        <f>IF(D13&gt;0,K13*I13,0)/1000</f>
        <v>1170.9878399999998</v>
      </c>
      <c r="M13" s="4">
        <f t="shared" ref="M13:M20" si="6">+L13*11%</f>
        <v>128.80866239999997</v>
      </c>
      <c r="N13" s="32">
        <f>+M13+L13</f>
        <v>1299.7965023999998</v>
      </c>
      <c r="O13" s="9"/>
      <c r="P13" s="37" t="s">
        <v>244</v>
      </c>
      <c r="Q13" s="152" t="s">
        <v>245</v>
      </c>
      <c r="R13" s="23" t="s">
        <v>246</v>
      </c>
      <c r="S13" s="69">
        <v>75</v>
      </c>
      <c r="T13" s="69">
        <v>9650</v>
      </c>
      <c r="U13" s="71">
        <f t="shared" si="0"/>
        <v>1061.5</v>
      </c>
      <c r="V13" s="71">
        <f t="shared" si="1"/>
        <v>10711.5</v>
      </c>
      <c r="W13" s="24" t="s">
        <v>18</v>
      </c>
    </row>
    <row r="14" spans="1:25" ht="13.5" customHeight="1" x14ac:dyDescent="0.25">
      <c r="A14" s="115" t="s">
        <v>44</v>
      </c>
      <c r="B14" s="116">
        <f t="shared" si="2"/>
        <v>0</v>
      </c>
      <c r="C14" s="61">
        <v>0</v>
      </c>
      <c r="D14" s="186">
        <f t="shared" si="3"/>
        <v>0</v>
      </c>
      <c r="E14" s="186"/>
      <c r="F14" s="117">
        <f>+G6*2</f>
        <v>1080</v>
      </c>
      <c r="G14" s="118" t="s">
        <v>17</v>
      </c>
      <c r="H14" s="117">
        <f>+$F$6+$H$6+20</f>
        <v>780</v>
      </c>
      <c r="I14" s="119">
        <f>+IF(D14&gt;0,(1000/(5200/(F14/2)/H14/(D14/100000))),0)</f>
        <v>0</v>
      </c>
      <c r="J14" s="120" t="s">
        <v>27</v>
      </c>
      <c r="K14" s="116">
        <f t="shared" si="4"/>
        <v>0</v>
      </c>
      <c r="L14" s="121">
        <f t="shared" ref="L14" si="7">IF(D14&gt;0,K14*I14,0)/1000</f>
        <v>0</v>
      </c>
      <c r="M14" s="121">
        <f>+L14*11%</f>
        <v>0</v>
      </c>
      <c r="N14" s="122">
        <f t="shared" ref="N14" si="8">+M14+L14</f>
        <v>0</v>
      </c>
      <c r="O14" s="9"/>
      <c r="P14" s="37" t="s">
        <v>186</v>
      </c>
      <c r="Q14" s="152" t="s">
        <v>184</v>
      </c>
      <c r="R14" s="23" t="s">
        <v>179</v>
      </c>
      <c r="S14" s="69">
        <v>80</v>
      </c>
      <c r="T14" s="70">
        <v>12000</v>
      </c>
      <c r="U14" s="71">
        <f t="shared" si="0"/>
        <v>1320</v>
      </c>
      <c r="V14" s="71">
        <f t="shared" si="1"/>
        <v>13320</v>
      </c>
      <c r="W14" s="24" t="s">
        <v>18</v>
      </c>
    </row>
    <row r="15" spans="1:25" ht="13.5" customHeight="1" x14ac:dyDescent="0.25">
      <c r="A15" s="15" t="s">
        <v>43</v>
      </c>
      <c r="B15" s="3">
        <f t="shared" si="2"/>
        <v>0</v>
      </c>
      <c r="C15" s="61">
        <v>0</v>
      </c>
      <c r="D15" s="185">
        <f t="shared" si="3"/>
        <v>0</v>
      </c>
      <c r="E15" s="185"/>
      <c r="F15" s="34">
        <f t="shared" si="5"/>
        <v>1110</v>
      </c>
      <c r="G15" s="5" t="s">
        <v>17</v>
      </c>
      <c r="H15" s="34">
        <f>+$F$6+$H$6+50</f>
        <v>810</v>
      </c>
      <c r="I15" s="36">
        <f>(F15*H15*D15)/1000000</f>
        <v>0</v>
      </c>
      <c r="J15" s="2" t="s">
        <v>27</v>
      </c>
      <c r="K15" s="3">
        <f t="shared" si="4"/>
        <v>0</v>
      </c>
      <c r="L15" s="4">
        <f t="shared" ref="L15:L19" si="9">IF(D15&gt;0,K15*I15,0)/1000</f>
        <v>0</v>
      </c>
      <c r="M15" s="4">
        <f t="shared" si="6"/>
        <v>0</v>
      </c>
      <c r="N15" s="32">
        <f t="shared" ref="N15:N20" si="10">+M15+L15</f>
        <v>0</v>
      </c>
      <c r="O15" s="9"/>
      <c r="P15" s="37" t="s">
        <v>187</v>
      </c>
      <c r="Q15" s="23" t="s">
        <v>185</v>
      </c>
      <c r="R15" s="23" t="s">
        <v>179</v>
      </c>
      <c r="S15" s="69">
        <v>80</v>
      </c>
      <c r="T15" s="82">
        <v>9000</v>
      </c>
      <c r="U15" s="71">
        <f t="shared" si="0"/>
        <v>990</v>
      </c>
      <c r="V15" s="71">
        <f t="shared" si="1"/>
        <v>9990</v>
      </c>
      <c r="W15" s="24" t="s">
        <v>18</v>
      </c>
    </row>
    <row r="16" spans="1:25" ht="13.5" customHeight="1" x14ac:dyDescent="0.25">
      <c r="A16" s="15" t="s">
        <v>50</v>
      </c>
      <c r="B16" s="3" t="str">
        <f t="shared" si="2"/>
        <v>Australian Paper Reguler</v>
      </c>
      <c r="C16" s="61" t="str">
        <f>+$C$11</f>
        <v>AN8</v>
      </c>
      <c r="D16" s="185">
        <f t="shared" si="3"/>
        <v>80</v>
      </c>
      <c r="E16" s="185"/>
      <c r="F16" s="34">
        <f>+G6-H6</f>
        <v>420</v>
      </c>
      <c r="G16" s="5" t="s">
        <v>17</v>
      </c>
      <c r="H16" s="34">
        <f>+H6-10</f>
        <v>110</v>
      </c>
      <c r="I16" s="36">
        <f>(F16*H16*D16)/1000000</f>
        <v>3.6960000000000002</v>
      </c>
      <c r="J16" s="2" t="s">
        <v>27</v>
      </c>
      <c r="K16" s="3">
        <f t="shared" si="4"/>
        <v>16280</v>
      </c>
      <c r="L16" s="4">
        <f t="shared" si="9"/>
        <v>60.170880000000004</v>
      </c>
      <c r="M16" s="4">
        <f t="shared" si="6"/>
        <v>6.6187968000000001</v>
      </c>
      <c r="N16" s="32">
        <f t="shared" si="10"/>
        <v>66.789676800000009</v>
      </c>
      <c r="O16" s="9"/>
      <c r="P16" s="37" t="s">
        <v>48</v>
      </c>
      <c r="Q16" s="152" t="s">
        <v>39</v>
      </c>
      <c r="R16" s="23" t="s">
        <v>183</v>
      </c>
      <c r="S16" s="69">
        <v>80</v>
      </c>
      <c r="T16" s="63">
        <f>22000+500</f>
        <v>22500</v>
      </c>
      <c r="U16" s="71">
        <f t="shared" si="0"/>
        <v>2475</v>
      </c>
      <c r="V16" s="71">
        <f t="shared" si="1"/>
        <v>24975</v>
      </c>
      <c r="W16" s="24" t="s">
        <v>18</v>
      </c>
    </row>
    <row r="17" spans="1:27" ht="13.5" customHeight="1" x14ac:dyDescent="0.25">
      <c r="A17" s="15" t="s">
        <v>51</v>
      </c>
      <c r="B17" s="3" t="str">
        <f t="shared" si="2"/>
        <v>Australian Paper Reguler</v>
      </c>
      <c r="C17" s="61" t="str">
        <f>+$C$11</f>
        <v>AN8</v>
      </c>
      <c r="D17" s="185">
        <f t="shared" si="3"/>
        <v>80</v>
      </c>
      <c r="E17" s="185"/>
      <c r="F17" s="34">
        <f>+G6-H6</f>
        <v>420</v>
      </c>
      <c r="G17" s="5" t="s">
        <v>17</v>
      </c>
      <c r="H17" s="34">
        <f>+H6-10</f>
        <v>110</v>
      </c>
      <c r="I17" s="36">
        <f>(F17*H17*D17)/1000000</f>
        <v>3.6960000000000002</v>
      </c>
      <c r="J17" s="2" t="s">
        <v>27</v>
      </c>
      <c r="K17" s="3">
        <f t="shared" si="4"/>
        <v>16280</v>
      </c>
      <c r="L17" s="4">
        <f t="shared" si="9"/>
        <v>60.170880000000004</v>
      </c>
      <c r="M17" s="4">
        <f t="shared" si="6"/>
        <v>6.6187968000000001</v>
      </c>
      <c r="N17" s="32">
        <f t="shared" si="10"/>
        <v>66.789676800000009</v>
      </c>
      <c r="P17" s="37"/>
      <c r="Q17" s="152"/>
      <c r="R17" s="23"/>
      <c r="S17" s="69"/>
      <c r="T17" s="70"/>
      <c r="U17" s="71"/>
      <c r="V17" s="71"/>
      <c r="W17" s="24"/>
    </row>
    <row r="18" spans="1:27" ht="13.5" customHeight="1" x14ac:dyDescent="0.25">
      <c r="A18" s="15" t="s">
        <v>176</v>
      </c>
      <c r="B18" s="3" t="str">
        <f t="shared" si="2"/>
        <v>Sack Kraft Limbah Kecil</v>
      </c>
      <c r="C18" s="61" t="s">
        <v>187</v>
      </c>
      <c r="D18" s="185">
        <f t="shared" si="3"/>
        <v>80</v>
      </c>
      <c r="E18" s="185"/>
      <c r="F18" s="34">
        <f>+$G$6-$H$6-50</f>
        <v>370</v>
      </c>
      <c r="G18" s="5" t="s">
        <v>17</v>
      </c>
      <c r="H18" s="34">
        <f>+$H$6*2</f>
        <v>240</v>
      </c>
      <c r="I18" s="36">
        <f>(F18*H18*D18)/1000000</f>
        <v>7.1040000000000001</v>
      </c>
      <c r="J18" s="2" t="s">
        <v>27</v>
      </c>
      <c r="K18" s="3">
        <f t="shared" si="4"/>
        <v>9000</v>
      </c>
      <c r="L18" s="4">
        <f t="shared" ref="L18" si="11">IF(D18&gt;0,K18*I18,0)/1000</f>
        <v>63.936</v>
      </c>
      <c r="M18" s="4">
        <f t="shared" ref="M18" si="12">+L18*11%</f>
        <v>7.0329600000000001</v>
      </c>
      <c r="N18" s="32">
        <f t="shared" si="10"/>
        <v>70.968959999999996</v>
      </c>
      <c r="P18" s="37"/>
      <c r="Q18" s="23"/>
      <c r="R18" s="23"/>
      <c r="S18" s="69"/>
      <c r="T18" s="82"/>
      <c r="U18" s="71"/>
      <c r="V18" s="71"/>
      <c r="W18" s="24"/>
    </row>
    <row r="19" spans="1:27" ht="13.5" customHeight="1" x14ac:dyDescent="0.25">
      <c r="A19" s="15" t="s">
        <v>22</v>
      </c>
      <c r="B19" s="3" t="str">
        <f t="shared" si="2"/>
        <v>Sack Kraft Limbah Kecil</v>
      </c>
      <c r="C19" s="61" t="s">
        <v>187</v>
      </c>
      <c r="D19" s="185">
        <f t="shared" si="3"/>
        <v>80</v>
      </c>
      <c r="E19" s="185"/>
      <c r="F19" s="34">
        <f>+H6*2+30</f>
        <v>270</v>
      </c>
      <c r="G19" s="5" t="s">
        <v>17</v>
      </c>
      <c r="H19" s="65">
        <v>300</v>
      </c>
      <c r="I19" s="36">
        <f>(F19*H19*D19)/1000000</f>
        <v>6.48</v>
      </c>
      <c r="J19" s="2" t="s">
        <v>27</v>
      </c>
      <c r="K19" s="3">
        <f t="shared" si="4"/>
        <v>9000</v>
      </c>
      <c r="L19" s="4">
        <f t="shared" si="9"/>
        <v>58.320000000000007</v>
      </c>
      <c r="M19" s="4">
        <f t="shared" si="6"/>
        <v>6.4152000000000005</v>
      </c>
      <c r="N19" s="32">
        <f t="shared" si="10"/>
        <v>64.735200000000006</v>
      </c>
      <c r="O19" s="9"/>
      <c r="P19" s="37"/>
      <c r="Q19" s="152"/>
      <c r="R19" s="23"/>
      <c r="S19" s="69"/>
      <c r="T19" s="63"/>
      <c r="U19" s="71"/>
      <c r="V19" s="71"/>
      <c r="W19" s="24"/>
    </row>
    <row r="20" spans="1:27" ht="13.5" customHeight="1" x14ac:dyDescent="0.25">
      <c r="A20" s="15" t="s">
        <v>40</v>
      </c>
      <c r="B20" s="3" t="str">
        <f t="shared" si="2"/>
        <v>Mixing</v>
      </c>
      <c r="C20" s="61" t="s">
        <v>40</v>
      </c>
      <c r="D20" s="158">
        <f t="shared" si="3"/>
        <v>0</v>
      </c>
      <c r="E20" s="159"/>
      <c r="F20" s="5"/>
      <c r="G20" s="5"/>
      <c r="H20" s="5"/>
      <c r="I20" s="2">
        <v>0</v>
      </c>
      <c r="J20" s="2" t="s">
        <v>27</v>
      </c>
      <c r="K20" s="3">
        <v>0</v>
      </c>
      <c r="L20" s="4">
        <f>(450*28000+120*8560+520*8400)/(320000+128000)+((450*28000+120*8560+520*8400)/(320000+128000)*20/100)</f>
        <v>48.201428571428572</v>
      </c>
      <c r="M20" s="4">
        <f t="shared" si="6"/>
        <v>5.3021571428571432</v>
      </c>
      <c r="N20" s="32">
        <f t="shared" si="10"/>
        <v>53.503585714285713</v>
      </c>
      <c r="O20" s="6"/>
      <c r="P20" s="37"/>
      <c r="Q20" s="152"/>
      <c r="R20" s="23"/>
      <c r="S20" s="69"/>
      <c r="T20" s="69"/>
      <c r="U20" s="71"/>
      <c r="V20" s="71"/>
      <c r="W20" s="24"/>
      <c r="AA20" s="18"/>
    </row>
    <row r="21" spans="1:27" ht="13.5" customHeight="1" thickBot="1" x14ac:dyDescent="0.3">
      <c r="A21" s="169" t="s">
        <v>12</v>
      </c>
      <c r="B21" s="170"/>
      <c r="C21" s="170"/>
      <c r="D21" s="170"/>
      <c r="E21" s="170"/>
      <c r="F21" s="170"/>
      <c r="G21" s="170"/>
      <c r="H21" s="171"/>
      <c r="I21" s="126">
        <f>+SUM(I11:I20)</f>
        <v>232.32</v>
      </c>
      <c r="J21" s="125"/>
      <c r="K21" s="125"/>
      <c r="L21" s="40">
        <f>SUM(L11:L20)</f>
        <v>3731.4795085714286</v>
      </c>
      <c r="M21" s="40">
        <f>SUM(M11:M20)</f>
        <v>410.46274594285705</v>
      </c>
      <c r="N21" s="41">
        <f>SUM(N11:N20)</f>
        <v>4141.9422545142852</v>
      </c>
      <c r="P21" s="37" t="s">
        <v>40</v>
      </c>
      <c r="Q21" s="23" t="s">
        <v>149</v>
      </c>
      <c r="R21" s="23" t="s">
        <v>49</v>
      </c>
      <c r="S21" s="69">
        <v>0</v>
      </c>
      <c r="T21" s="82">
        <v>10250</v>
      </c>
      <c r="U21" s="71">
        <f t="shared" ref="U21:U22" si="13">+T21*0.11</f>
        <v>1127.5</v>
      </c>
      <c r="V21" s="71">
        <f t="shared" ref="V21:V22" si="14">+U21+T21</f>
        <v>11377.5</v>
      </c>
      <c r="W21" s="24" t="s">
        <v>18</v>
      </c>
    </row>
    <row r="22" spans="1:27" ht="13.5" customHeight="1" thickTop="1" thickBo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6"/>
      <c r="O22" s="11"/>
      <c r="P22" s="37" t="s">
        <v>38</v>
      </c>
      <c r="Q22" s="152" t="s">
        <v>53</v>
      </c>
      <c r="R22" s="23" t="s">
        <v>53</v>
      </c>
      <c r="S22" s="69">
        <v>20</v>
      </c>
      <c r="T22" s="63">
        <v>13000</v>
      </c>
      <c r="U22" s="71">
        <f t="shared" si="13"/>
        <v>1430</v>
      </c>
      <c r="V22" s="71">
        <f t="shared" si="14"/>
        <v>14430</v>
      </c>
      <c r="W22" s="24" t="s">
        <v>18</v>
      </c>
    </row>
    <row r="23" spans="1:27" ht="13.5" customHeight="1" thickTop="1" x14ac:dyDescent="0.25">
      <c r="A23" s="165" t="s">
        <v>19</v>
      </c>
      <c r="B23" s="166"/>
      <c r="C23" s="166"/>
      <c r="D23" s="166"/>
      <c r="E23" s="166"/>
      <c r="F23" s="166" t="s">
        <v>9</v>
      </c>
      <c r="G23" s="166"/>
      <c r="H23" s="166"/>
      <c r="I23" s="21" t="s">
        <v>6</v>
      </c>
      <c r="J23" s="21" t="s">
        <v>10</v>
      </c>
      <c r="K23" s="21" t="s">
        <v>11</v>
      </c>
      <c r="L23" s="21" t="s">
        <v>12</v>
      </c>
      <c r="M23" s="21" t="s">
        <v>24</v>
      </c>
      <c r="N23" s="22" t="s">
        <v>25</v>
      </c>
      <c r="O23" s="12"/>
      <c r="P23" s="37" t="s">
        <v>127</v>
      </c>
      <c r="Q23" s="152" t="s">
        <v>104</v>
      </c>
      <c r="R23" s="23" t="s">
        <v>178</v>
      </c>
      <c r="S23" s="69">
        <v>15</v>
      </c>
      <c r="T23" s="84">
        <v>26000</v>
      </c>
      <c r="U23" s="71">
        <f>+T23*0.11</f>
        <v>2860</v>
      </c>
      <c r="V23" s="71">
        <f>+U23+T23</f>
        <v>28860</v>
      </c>
      <c r="W23" s="24" t="s">
        <v>18</v>
      </c>
    </row>
    <row r="24" spans="1:27" ht="13.5" customHeight="1" x14ac:dyDescent="0.25">
      <c r="A24" s="163" t="s">
        <v>169</v>
      </c>
      <c r="B24" s="164"/>
      <c r="C24" s="164"/>
      <c r="D24" s="164"/>
      <c r="E24" s="164"/>
      <c r="F24" s="164"/>
      <c r="G24" s="164"/>
      <c r="H24" s="164"/>
      <c r="I24" s="5">
        <v>1</v>
      </c>
      <c r="J24" s="2" t="s">
        <v>20</v>
      </c>
      <c r="K24" s="62">
        <v>530</v>
      </c>
      <c r="L24" s="7">
        <f>K24*I24</f>
        <v>530</v>
      </c>
      <c r="M24" s="7">
        <f>+L24*0.11</f>
        <v>58.3</v>
      </c>
      <c r="N24" s="30">
        <f>+M24+L24</f>
        <v>588.29999999999995</v>
      </c>
      <c r="O24" s="12"/>
      <c r="P24" s="37" t="s">
        <v>105</v>
      </c>
      <c r="Q24" s="23" t="s">
        <v>103</v>
      </c>
      <c r="R24" s="23" t="s">
        <v>177</v>
      </c>
      <c r="S24" s="69">
        <v>15</v>
      </c>
      <c r="T24" s="83">
        <v>25500</v>
      </c>
      <c r="U24" s="71">
        <f t="shared" ref="U24:U66" si="15">+T24*0.11</f>
        <v>2805</v>
      </c>
      <c r="V24" s="71">
        <f t="shared" ref="V24:V66" si="16">+U24+T24</f>
        <v>28305</v>
      </c>
      <c r="W24" s="24" t="s">
        <v>18</v>
      </c>
    </row>
    <row r="25" spans="1:27" ht="13.5" customHeight="1" x14ac:dyDescent="0.25">
      <c r="A25" s="163" t="s">
        <v>170</v>
      </c>
      <c r="B25" s="164"/>
      <c r="C25" s="164"/>
      <c r="D25" s="164"/>
      <c r="E25" s="164"/>
      <c r="F25" s="164"/>
      <c r="G25" s="164"/>
      <c r="H25" s="164"/>
      <c r="I25" s="5">
        <v>1</v>
      </c>
      <c r="J25" s="2" t="s">
        <v>20</v>
      </c>
      <c r="K25" s="7">
        <f>IF($I$21&lt;200,Sheet3!Q2,(Sheet3!Q2+(($I$21-200)/200*Sheet3!Q2*0.25)))</f>
        <v>550.73915622847437</v>
      </c>
      <c r="L25" s="7">
        <f>K25*I25</f>
        <v>550.73915622847437</v>
      </c>
      <c r="M25" s="7">
        <f t="shared" ref="M25:M34" si="17">+L25*0.11</f>
        <v>60.581307185132182</v>
      </c>
      <c r="N25" s="30">
        <f>+M25+L25</f>
        <v>611.3204634136066</v>
      </c>
      <c r="O25" s="12"/>
      <c r="P25" s="37" t="s">
        <v>106</v>
      </c>
      <c r="Q25" s="23" t="s">
        <v>103</v>
      </c>
      <c r="R25" s="23" t="s">
        <v>177</v>
      </c>
      <c r="S25" s="69">
        <v>20</v>
      </c>
      <c r="T25" s="82">
        <f>+$T$24</f>
        <v>25500</v>
      </c>
      <c r="U25" s="71">
        <f t="shared" si="15"/>
        <v>2805</v>
      </c>
      <c r="V25" s="71">
        <f t="shared" si="16"/>
        <v>28305</v>
      </c>
      <c r="W25" s="24" t="s">
        <v>18</v>
      </c>
    </row>
    <row r="26" spans="1:27" ht="13.5" customHeight="1" x14ac:dyDescent="0.25">
      <c r="A26" s="163" t="s">
        <v>171</v>
      </c>
      <c r="B26" s="164"/>
      <c r="C26" s="164"/>
      <c r="D26" s="164"/>
      <c r="E26" s="164"/>
      <c r="F26" s="164"/>
      <c r="G26" s="164"/>
      <c r="H26" s="164"/>
      <c r="I26" s="5">
        <v>1</v>
      </c>
      <c r="J26" s="2" t="s">
        <v>20</v>
      </c>
      <c r="K26" s="7">
        <f>+IF(AND(F11&lt;1021,H11&lt;721),VLOOKUP(F8,$Q$73:$X$103,8,FALSE),IF(AND(F11&lt;1101,H11&lt;801),VLOOKUP(F8,$Q$108:$X$138,8,FALSE),VLOOKUP(F8,$Q$143:$Y$173,9,FALSE)))</f>
        <v>0</v>
      </c>
      <c r="L26" s="7">
        <f>K26*I26</f>
        <v>0</v>
      </c>
      <c r="M26" s="7">
        <f t="shared" si="17"/>
        <v>0</v>
      </c>
      <c r="N26" s="30">
        <f t="shared" ref="N26:N34" si="18">+M26+L26</f>
        <v>0</v>
      </c>
      <c r="O26" s="12">
        <f>2789-2156</f>
        <v>633</v>
      </c>
      <c r="P26" s="37" t="s">
        <v>107</v>
      </c>
      <c r="Q26" s="23" t="s">
        <v>103</v>
      </c>
      <c r="R26" s="23" t="s">
        <v>177</v>
      </c>
      <c r="S26" s="69">
        <v>25</v>
      </c>
      <c r="T26" s="82">
        <f t="shared" ref="T26:T45" si="19">+$T$24</f>
        <v>25500</v>
      </c>
      <c r="U26" s="71">
        <f t="shared" si="15"/>
        <v>2805</v>
      </c>
      <c r="V26" s="71">
        <f t="shared" si="16"/>
        <v>28305</v>
      </c>
      <c r="W26" s="24" t="s">
        <v>18</v>
      </c>
    </row>
    <row r="27" spans="1:27" ht="13.5" customHeight="1" x14ac:dyDescent="0.25">
      <c r="A27" s="163" t="s">
        <v>172</v>
      </c>
      <c r="B27" s="164"/>
      <c r="C27" s="164"/>
      <c r="D27" s="164"/>
      <c r="E27" s="164"/>
      <c r="F27" s="164"/>
      <c r="G27" s="164"/>
      <c r="H27" s="164"/>
      <c r="I27" s="5">
        <v>1</v>
      </c>
      <c r="J27" s="2" t="s">
        <v>20</v>
      </c>
      <c r="K27" s="67">
        <v>25</v>
      </c>
      <c r="L27" s="7">
        <f t="shared" ref="L27:L34" si="20">K27*I27</f>
        <v>25</v>
      </c>
      <c r="M27" s="7">
        <f t="shared" si="17"/>
        <v>2.75</v>
      </c>
      <c r="N27" s="30">
        <f t="shared" si="18"/>
        <v>27.75</v>
      </c>
      <c r="O27" s="12"/>
      <c r="P27" s="37" t="s">
        <v>108</v>
      </c>
      <c r="Q27" s="23" t="s">
        <v>103</v>
      </c>
      <c r="R27" s="23" t="s">
        <v>177</v>
      </c>
      <c r="S27" s="69">
        <v>30</v>
      </c>
      <c r="T27" s="82">
        <f t="shared" si="19"/>
        <v>25500</v>
      </c>
      <c r="U27" s="71">
        <f t="shared" si="15"/>
        <v>2805</v>
      </c>
      <c r="V27" s="71">
        <f t="shared" si="16"/>
        <v>28305</v>
      </c>
      <c r="W27" s="24" t="s">
        <v>18</v>
      </c>
    </row>
    <row r="28" spans="1:27" ht="13.5" customHeight="1" x14ac:dyDescent="0.25">
      <c r="A28" s="163" t="s">
        <v>173</v>
      </c>
      <c r="B28" s="164"/>
      <c r="C28" s="164"/>
      <c r="D28" s="164"/>
      <c r="E28" s="164"/>
      <c r="F28" s="164"/>
      <c r="G28" s="164"/>
      <c r="H28" s="164"/>
      <c r="I28" s="5">
        <v>1</v>
      </c>
      <c r="J28" s="2" t="s">
        <v>20</v>
      </c>
      <c r="K28" s="7">
        <f>IF($I$21&lt;200,Sheet3!Q3,(Sheet3!Q3+(($I$21-200)/200*Sheet3!Q3*0.25)))</f>
        <v>35.725885200605852</v>
      </c>
      <c r="L28" s="7">
        <f t="shared" si="20"/>
        <v>35.725885200605852</v>
      </c>
      <c r="M28" s="7">
        <f t="shared" si="17"/>
        <v>3.9298473720666438</v>
      </c>
      <c r="N28" s="30">
        <f t="shared" si="18"/>
        <v>39.655732572672498</v>
      </c>
      <c r="O28" s="12"/>
      <c r="P28" s="37" t="s">
        <v>109</v>
      </c>
      <c r="Q28" s="23" t="s">
        <v>103</v>
      </c>
      <c r="R28" s="23" t="s">
        <v>177</v>
      </c>
      <c r="S28" s="69">
        <v>35</v>
      </c>
      <c r="T28" s="82">
        <f t="shared" si="19"/>
        <v>25500</v>
      </c>
      <c r="U28" s="71">
        <f t="shared" si="15"/>
        <v>2805</v>
      </c>
      <c r="V28" s="71">
        <f t="shared" si="16"/>
        <v>28305</v>
      </c>
      <c r="W28" s="24" t="s">
        <v>18</v>
      </c>
    </row>
    <row r="29" spans="1:27" ht="13.5" customHeight="1" x14ac:dyDescent="0.25">
      <c r="A29" s="163" t="s">
        <v>150</v>
      </c>
      <c r="B29" s="164"/>
      <c r="C29" s="164"/>
      <c r="D29" s="164"/>
      <c r="E29" s="164"/>
      <c r="F29" s="164"/>
      <c r="G29" s="164"/>
      <c r="H29" s="164"/>
      <c r="I29" s="5">
        <v>1</v>
      </c>
      <c r="J29" s="2" t="s">
        <v>20</v>
      </c>
      <c r="K29" s="7">
        <f>IF($I$21&lt;200,Sheet3!Q4,(Sheet3!Q4+(($I$21-200)/200*Sheet3!Q4*0.25)))</f>
        <v>122.5811382470699</v>
      </c>
      <c r="L29" s="7">
        <f t="shared" si="20"/>
        <v>122.5811382470699</v>
      </c>
      <c r="M29" s="7">
        <f t="shared" si="17"/>
        <v>13.483925207177689</v>
      </c>
      <c r="N29" s="30">
        <f t="shared" si="18"/>
        <v>136.06506345424759</v>
      </c>
      <c r="O29" s="12"/>
      <c r="P29" s="37" t="s">
        <v>110</v>
      </c>
      <c r="Q29" s="23" t="s">
        <v>103</v>
      </c>
      <c r="R29" s="23" t="s">
        <v>177</v>
      </c>
      <c r="S29" s="69">
        <v>40</v>
      </c>
      <c r="T29" s="82">
        <f>+$T$24</f>
        <v>25500</v>
      </c>
      <c r="U29" s="71">
        <f t="shared" si="15"/>
        <v>2805</v>
      </c>
      <c r="V29" s="71">
        <f t="shared" si="16"/>
        <v>28305</v>
      </c>
      <c r="W29" s="24" t="s">
        <v>18</v>
      </c>
    </row>
    <row r="30" spans="1:27" ht="13.5" customHeight="1" x14ac:dyDescent="0.25">
      <c r="A30" s="163" t="s">
        <v>151</v>
      </c>
      <c r="B30" s="164"/>
      <c r="C30" s="164"/>
      <c r="D30" s="164"/>
      <c r="E30" s="164"/>
      <c r="F30" s="164"/>
      <c r="G30" s="164"/>
      <c r="H30" s="164"/>
      <c r="I30" s="5">
        <v>1</v>
      </c>
      <c r="J30" s="2" t="s">
        <v>20</v>
      </c>
      <c r="K30" s="67">
        <f>IF($I$21&lt;200,Sheet3!Q5,(Sheet3!Q5+(($I$21-200)/200*Sheet3!Q5*0.25)))</f>
        <v>81.806294659097489</v>
      </c>
      <c r="L30" s="7">
        <f t="shared" si="20"/>
        <v>81.806294659097489</v>
      </c>
      <c r="M30" s="7">
        <f t="shared" si="17"/>
        <v>8.9986924125007235</v>
      </c>
      <c r="N30" s="30">
        <f t="shared" si="18"/>
        <v>90.804987071598219</v>
      </c>
      <c r="O30" s="12"/>
      <c r="P30" s="37" t="s">
        <v>111</v>
      </c>
      <c r="Q30" s="23" t="s">
        <v>103</v>
      </c>
      <c r="R30" s="23" t="s">
        <v>177</v>
      </c>
      <c r="S30" s="69">
        <v>45</v>
      </c>
      <c r="T30" s="82">
        <f t="shared" si="19"/>
        <v>25500</v>
      </c>
      <c r="U30" s="71">
        <f t="shared" si="15"/>
        <v>2805</v>
      </c>
      <c r="V30" s="71">
        <f t="shared" si="16"/>
        <v>28305</v>
      </c>
      <c r="W30" s="24" t="s">
        <v>18</v>
      </c>
    </row>
    <row r="31" spans="1:27" ht="13.5" customHeight="1" x14ac:dyDescent="0.25">
      <c r="A31" s="163" t="s">
        <v>208</v>
      </c>
      <c r="B31" s="164"/>
      <c r="C31" s="164"/>
      <c r="D31" s="164"/>
      <c r="E31" s="164"/>
      <c r="F31" s="164"/>
      <c r="G31" s="164"/>
      <c r="H31" s="164"/>
      <c r="I31" s="5">
        <v>1</v>
      </c>
      <c r="J31" s="2" t="s">
        <v>20</v>
      </c>
      <c r="K31" s="7">
        <f>IF($I$21&lt;200,Sheet3!Q7,(Sheet3!Q7+(($I$21-200)/200*Sheet3!Q7*0.25)))</f>
        <v>122.70959631676861</v>
      </c>
      <c r="L31" s="7">
        <f t="shared" si="20"/>
        <v>122.70959631676861</v>
      </c>
      <c r="M31" s="7">
        <f t="shared" si="17"/>
        <v>13.498055594844548</v>
      </c>
      <c r="N31" s="30">
        <f t="shared" si="18"/>
        <v>136.20765191161317</v>
      </c>
      <c r="O31" s="12"/>
      <c r="P31" s="37" t="s">
        <v>112</v>
      </c>
      <c r="Q31" s="23" t="s">
        <v>103</v>
      </c>
      <c r="R31" s="23" t="s">
        <v>177</v>
      </c>
      <c r="S31" s="69">
        <v>50</v>
      </c>
      <c r="T31" s="82">
        <f t="shared" si="19"/>
        <v>25500</v>
      </c>
      <c r="U31" s="71">
        <f t="shared" si="15"/>
        <v>2805</v>
      </c>
      <c r="V31" s="71">
        <f t="shared" si="16"/>
        <v>28305</v>
      </c>
      <c r="W31" s="24" t="s">
        <v>18</v>
      </c>
    </row>
    <row r="32" spans="1:27" ht="13.5" customHeight="1" x14ac:dyDescent="0.25">
      <c r="A32" s="163" t="s">
        <v>152</v>
      </c>
      <c r="B32" s="164"/>
      <c r="C32" s="164"/>
      <c r="D32" s="164"/>
      <c r="E32" s="164"/>
      <c r="F32" s="164"/>
      <c r="G32" s="164"/>
      <c r="H32" s="164"/>
      <c r="I32" s="5">
        <v>1</v>
      </c>
      <c r="J32" s="2" t="s">
        <v>20</v>
      </c>
      <c r="K32" s="7">
        <v>32</v>
      </c>
      <c r="L32" s="7">
        <f t="shared" si="20"/>
        <v>32</v>
      </c>
      <c r="M32" s="7">
        <f t="shared" si="17"/>
        <v>3.52</v>
      </c>
      <c r="N32" s="30">
        <f t="shared" si="18"/>
        <v>35.520000000000003</v>
      </c>
      <c r="O32" s="12"/>
      <c r="P32" s="37" t="s">
        <v>113</v>
      </c>
      <c r="Q32" s="23" t="s">
        <v>103</v>
      </c>
      <c r="R32" s="23" t="s">
        <v>177</v>
      </c>
      <c r="S32" s="69">
        <v>55</v>
      </c>
      <c r="T32" s="82">
        <f t="shared" si="19"/>
        <v>25500</v>
      </c>
      <c r="U32" s="71">
        <f t="shared" si="15"/>
        <v>2805</v>
      </c>
      <c r="V32" s="71">
        <f t="shared" si="16"/>
        <v>28305</v>
      </c>
      <c r="W32" s="24" t="s">
        <v>18</v>
      </c>
    </row>
    <row r="33" spans="1:23" ht="13.5" customHeight="1" x14ac:dyDescent="0.25">
      <c r="A33" s="163" t="s">
        <v>174</v>
      </c>
      <c r="B33" s="164"/>
      <c r="C33" s="164"/>
      <c r="D33" s="164"/>
      <c r="E33" s="164"/>
      <c r="F33" s="164"/>
      <c r="G33" s="164"/>
      <c r="H33" s="164"/>
      <c r="I33" s="5">
        <v>1</v>
      </c>
      <c r="J33" s="2" t="s">
        <v>20</v>
      </c>
      <c r="K33" s="62">
        <v>200</v>
      </c>
      <c r="L33" s="7">
        <f t="shared" si="20"/>
        <v>200</v>
      </c>
      <c r="M33" s="7">
        <f t="shared" si="17"/>
        <v>22</v>
      </c>
      <c r="N33" s="30">
        <f t="shared" si="18"/>
        <v>222</v>
      </c>
      <c r="O33" s="12"/>
      <c r="P33" s="37" t="s">
        <v>114</v>
      </c>
      <c r="Q33" s="23" t="s">
        <v>103</v>
      </c>
      <c r="R33" s="23" t="s">
        <v>177</v>
      </c>
      <c r="S33" s="69">
        <v>60</v>
      </c>
      <c r="T33" s="82">
        <f t="shared" si="19"/>
        <v>25500</v>
      </c>
      <c r="U33" s="71">
        <f t="shared" si="15"/>
        <v>2805</v>
      </c>
      <c r="V33" s="71">
        <f t="shared" si="16"/>
        <v>28305</v>
      </c>
      <c r="W33" s="24" t="s">
        <v>18</v>
      </c>
    </row>
    <row r="34" spans="1:23" ht="13.5" customHeight="1" x14ac:dyDescent="0.25">
      <c r="A34" s="163" t="s">
        <v>175</v>
      </c>
      <c r="B34" s="164"/>
      <c r="C34" s="164"/>
      <c r="D34" s="164"/>
      <c r="E34" s="164"/>
      <c r="F34" s="164"/>
      <c r="G34" s="164"/>
      <c r="H34" s="164"/>
      <c r="I34" s="5">
        <v>1</v>
      </c>
      <c r="J34" s="2" t="s">
        <v>20</v>
      </c>
      <c r="K34" s="62">
        <v>65</v>
      </c>
      <c r="L34" s="7">
        <f t="shared" si="20"/>
        <v>65</v>
      </c>
      <c r="M34" s="7">
        <f t="shared" si="17"/>
        <v>7.15</v>
      </c>
      <c r="N34" s="30">
        <f t="shared" si="18"/>
        <v>72.150000000000006</v>
      </c>
      <c r="O34" s="12"/>
      <c r="P34" s="37" t="s">
        <v>115</v>
      </c>
      <c r="Q34" s="23" t="s">
        <v>103</v>
      </c>
      <c r="R34" s="23" t="s">
        <v>177</v>
      </c>
      <c r="S34" s="69">
        <v>65</v>
      </c>
      <c r="T34" s="82">
        <f t="shared" si="19"/>
        <v>25500</v>
      </c>
      <c r="U34" s="71">
        <f t="shared" si="15"/>
        <v>2805</v>
      </c>
      <c r="V34" s="71">
        <f t="shared" si="16"/>
        <v>28305</v>
      </c>
      <c r="W34" s="24" t="s">
        <v>18</v>
      </c>
    </row>
    <row r="35" spans="1:23" ht="13.5" customHeight="1" x14ac:dyDescent="0.25">
      <c r="A35" s="167" t="s">
        <v>12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8">
        <f>SUM(L24:L34)</f>
        <v>1765.5620706520162</v>
      </c>
      <c r="M35" s="8">
        <f>SUM(M24:M34)</f>
        <v>194.2118277717218</v>
      </c>
      <c r="N35" s="31">
        <f>SUM(N24:N34)</f>
        <v>1959.773898423738</v>
      </c>
      <c r="O35" s="12"/>
      <c r="P35" s="37" t="s">
        <v>116</v>
      </c>
      <c r="Q35" s="23" t="s">
        <v>103</v>
      </c>
      <c r="R35" s="23" t="s">
        <v>177</v>
      </c>
      <c r="S35" s="69">
        <v>70</v>
      </c>
      <c r="T35" s="82">
        <f t="shared" si="19"/>
        <v>25500</v>
      </c>
      <c r="U35" s="71">
        <f t="shared" si="15"/>
        <v>2805</v>
      </c>
      <c r="V35" s="71">
        <f t="shared" si="16"/>
        <v>28305</v>
      </c>
      <c r="W35" s="24" t="s">
        <v>18</v>
      </c>
    </row>
    <row r="36" spans="1:23" ht="13.5" customHeight="1" x14ac:dyDescent="0.25">
      <c r="A36" s="161" t="s">
        <v>89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03">
        <f>L35+L21</f>
        <v>5497.0415792234453</v>
      </c>
      <c r="M36" s="110"/>
      <c r="N36" s="111">
        <f t="shared" ref="N36:N41" si="21">(L36*11%)+L36</f>
        <v>6101.7161529380246</v>
      </c>
      <c r="O36" s="12"/>
      <c r="P36" s="37" t="s">
        <v>117</v>
      </c>
      <c r="Q36" s="23" t="s">
        <v>103</v>
      </c>
      <c r="R36" s="23" t="s">
        <v>177</v>
      </c>
      <c r="S36" s="69">
        <v>75</v>
      </c>
      <c r="T36" s="82">
        <f t="shared" si="19"/>
        <v>25500</v>
      </c>
      <c r="U36" s="71">
        <f t="shared" si="15"/>
        <v>2805</v>
      </c>
      <c r="V36" s="71">
        <f t="shared" si="16"/>
        <v>28305</v>
      </c>
      <c r="W36" s="24" t="s">
        <v>18</v>
      </c>
    </row>
    <row r="37" spans="1:23" ht="13.5" customHeight="1" x14ac:dyDescent="0.25">
      <c r="A37" s="167" t="s">
        <v>91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05">
        <f>+L40-L36</f>
        <v>502.9584207765547</v>
      </c>
      <c r="M37" s="74"/>
      <c r="N37" s="80">
        <f t="shared" si="21"/>
        <v>558.28384706197573</v>
      </c>
      <c r="O37" s="12"/>
      <c r="P37" s="37" t="s">
        <v>118</v>
      </c>
      <c r="Q37" s="23" t="s">
        <v>103</v>
      </c>
      <c r="R37" s="23" t="s">
        <v>177</v>
      </c>
      <c r="S37" s="69">
        <v>80</v>
      </c>
      <c r="T37" s="82">
        <f t="shared" si="19"/>
        <v>25500</v>
      </c>
      <c r="U37" s="71">
        <f t="shared" si="15"/>
        <v>2805</v>
      </c>
      <c r="V37" s="71">
        <f t="shared" si="16"/>
        <v>28305</v>
      </c>
      <c r="W37" s="24" t="s">
        <v>18</v>
      </c>
    </row>
    <row r="38" spans="1:23" ht="13.5" customHeight="1" x14ac:dyDescent="0.25">
      <c r="A38" s="161" t="s">
        <v>88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04">
        <f>+IF(L37&lt;=300,L36+L37,IF(L37&lt;=430,L36+300,IF(L37&gt;430,L36+L37*70/100,0)))</f>
        <v>5849.1124737670334</v>
      </c>
      <c r="M38" s="110"/>
      <c r="N38" s="111">
        <f t="shared" si="21"/>
        <v>6492.5148458814074</v>
      </c>
      <c r="O38" s="12"/>
      <c r="P38" s="37" t="s">
        <v>119</v>
      </c>
      <c r="Q38" s="23" t="s">
        <v>103</v>
      </c>
      <c r="R38" s="23" t="s">
        <v>177</v>
      </c>
      <c r="S38" s="69">
        <v>85</v>
      </c>
      <c r="T38" s="82">
        <f t="shared" si="19"/>
        <v>25500</v>
      </c>
      <c r="U38" s="71">
        <f t="shared" si="15"/>
        <v>2805</v>
      </c>
      <c r="V38" s="71">
        <f t="shared" si="16"/>
        <v>28305</v>
      </c>
      <c r="W38" s="24" t="s">
        <v>18</v>
      </c>
    </row>
    <row r="39" spans="1:23" ht="13.5" customHeight="1" x14ac:dyDescent="0.25">
      <c r="A39" s="167" t="s">
        <v>197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75">
        <f>+L38-L36</f>
        <v>352.07089454358811</v>
      </c>
      <c r="M39" s="74"/>
      <c r="N39" s="80">
        <f t="shared" si="21"/>
        <v>390.79869294338278</v>
      </c>
      <c r="O39" s="12"/>
      <c r="P39" s="37" t="s">
        <v>120</v>
      </c>
      <c r="Q39" s="23" t="s">
        <v>103</v>
      </c>
      <c r="R39" s="23" t="s">
        <v>177</v>
      </c>
      <c r="S39" s="69">
        <v>90</v>
      </c>
      <c r="T39" s="82">
        <f t="shared" si="19"/>
        <v>25500</v>
      </c>
      <c r="U39" s="71">
        <f t="shared" si="15"/>
        <v>2805</v>
      </c>
      <c r="V39" s="71">
        <f t="shared" si="16"/>
        <v>28305</v>
      </c>
      <c r="W39" s="24" t="s">
        <v>18</v>
      </c>
    </row>
    <row r="40" spans="1:23" ht="13.5" customHeight="1" x14ac:dyDescent="0.25">
      <c r="A40" s="161" t="s">
        <v>90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07">
        <v>6000</v>
      </c>
      <c r="M40" s="113"/>
      <c r="N40" s="111">
        <f t="shared" si="21"/>
        <v>6660</v>
      </c>
      <c r="O40" s="12"/>
      <c r="P40" s="37" t="s">
        <v>121</v>
      </c>
      <c r="Q40" s="23" t="s">
        <v>103</v>
      </c>
      <c r="R40" s="23" t="s">
        <v>177</v>
      </c>
      <c r="S40" s="69">
        <v>95</v>
      </c>
      <c r="T40" s="82">
        <f t="shared" si="19"/>
        <v>25500</v>
      </c>
      <c r="U40" s="71">
        <f t="shared" si="15"/>
        <v>2805</v>
      </c>
      <c r="V40" s="71">
        <f t="shared" si="16"/>
        <v>28305</v>
      </c>
      <c r="W40" s="24" t="s">
        <v>18</v>
      </c>
    </row>
    <row r="41" spans="1:23" ht="13.5" customHeight="1" x14ac:dyDescent="0.25">
      <c r="A41" s="167" t="s">
        <v>198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06">
        <f>+L40-L38</f>
        <v>150.88752623296659</v>
      </c>
      <c r="M41" s="76"/>
      <c r="N41" s="80">
        <f t="shared" si="21"/>
        <v>167.48515411859293</v>
      </c>
      <c r="O41" s="12"/>
      <c r="P41" s="37" t="s">
        <v>122</v>
      </c>
      <c r="Q41" s="23" t="s">
        <v>103</v>
      </c>
      <c r="R41" s="23" t="s">
        <v>177</v>
      </c>
      <c r="S41" s="69">
        <v>100</v>
      </c>
      <c r="T41" s="82">
        <f t="shared" si="19"/>
        <v>25500</v>
      </c>
      <c r="U41" s="71">
        <f t="shared" si="15"/>
        <v>2805</v>
      </c>
      <c r="V41" s="71">
        <f t="shared" si="16"/>
        <v>28305</v>
      </c>
      <c r="W41" s="24" t="s">
        <v>18</v>
      </c>
    </row>
    <row r="42" spans="1:23" ht="13.5" customHeight="1" x14ac:dyDescent="0.25">
      <c r="A42" s="161" t="s">
        <v>23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07">
        <v>0</v>
      </c>
      <c r="M42" s="112"/>
      <c r="N42" s="111">
        <f t="shared" ref="N42" si="22">(L42*11%)+L42</f>
        <v>0</v>
      </c>
      <c r="O42" s="12"/>
      <c r="P42" s="37" t="s">
        <v>123</v>
      </c>
      <c r="Q42" s="23" t="s">
        <v>103</v>
      </c>
      <c r="R42" s="23" t="s">
        <v>177</v>
      </c>
      <c r="S42" s="69">
        <v>105</v>
      </c>
      <c r="T42" s="82">
        <f t="shared" si="19"/>
        <v>25500</v>
      </c>
      <c r="U42" s="71">
        <f t="shared" si="15"/>
        <v>2805</v>
      </c>
      <c r="V42" s="71">
        <f t="shared" si="16"/>
        <v>28305</v>
      </c>
      <c r="W42" s="24" t="s">
        <v>18</v>
      </c>
    </row>
    <row r="43" spans="1:23" ht="13.5" customHeight="1" x14ac:dyDescent="0.25">
      <c r="A43" s="167" t="s">
        <v>37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77">
        <f>+L42+L40</f>
        <v>6000</v>
      </c>
      <c r="M43" s="75"/>
      <c r="N43" s="80">
        <f>(L43*11%)+L43</f>
        <v>6660</v>
      </c>
      <c r="O43" s="12"/>
      <c r="P43" s="37" t="s">
        <v>124</v>
      </c>
      <c r="Q43" s="23" t="s">
        <v>103</v>
      </c>
      <c r="R43" s="23" t="s">
        <v>177</v>
      </c>
      <c r="S43" s="69">
        <v>110</v>
      </c>
      <c r="T43" s="82">
        <f t="shared" si="19"/>
        <v>25500</v>
      </c>
      <c r="U43" s="71">
        <f t="shared" si="15"/>
        <v>2805</v>
      </c>
      <c r="V43" s="71">
        <f t="shared" si="16"/>
        <v>28305</v>
      </c>
      <c r="W43" s="24" t="s">
        <v>18</v>
      </c>
    </row>
    <row r="44" spans="1:23" ht="13.5" customHeight="1" x14ac:dyDescent="0.25">
      <c r="A44" s="161" t="s">
        <v>199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08">
        <f>+L39/L36</f>
        <v>6.4047340641240763E-2</v>
      </c>
      <c r="M44" s="104"/>
      <c r="N44" s="109">
        <f>+N39/N36</f>
        <v>6.4047340641240763E-2</v>
      </c>
      <c r="O44" s="12"/>
      <c r="P44" s="37" t="s">
        <v>125</v>
      </c>
      <c r="Q44" s="23" t="s">
        <v>103</v>
      </c>
      <c r="R44" s="23" t="s">
        <v>177</v>
      </c>
      <c r="S44" s="69">
        <v>115</v>
      </c>
      <c r="T44" s="82">
        <f t="shared" si="19"/>
        <v>25500</v>
      </c>
      <c r="U44" s="71">
        <f t="shared" si="15"/>
        <v>2805</v>
      </c>
      <c r="V44" s="71">
        <f t="shared" si="16"/>
        <v>28305</v>
      </c>
      <c r="W44" s="24" t="s">
        <v>18</v>
      </c>
    </row>
    <row r="45" spans="1:23" ht="15.75" thickBot="1" x14ac:dyDescent="0.3">
      <c r="A45" s="172" t="s">
        <v>200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78">
        <f>+L41/L38</f>
        <v>2.5796653237510705E-2</v>
      </c>
      <c r="M45" s="79"/>
      <c r="N45" s="81">
        <f>+N41/N38</f>
        <v>2.5796653237510705E-2</v>
      </c>
      <c r="O45" s="12"/>
      <c r="P45" s="37" t="s">
        <v>126</v>
      </c>
      <c r="Q45" s="23" t="s">
        <v>103</v>
      </c>
      <c r="R45" s="23" t="s">
        <v>177</v>
      </c>
      <c r="S45" s="69">
        <v>120</v>
      </c>
      <c r="T45" s="82">
        <f t="shared" si="19"/>
        <v>25500</v>
      </c>
      <c r="U45" s="71">
        <f t="shared" si="15"/>
        <v>2805</v>
      </c>
      <c r="V45" s="71">
        <f t="shared" si="16"/>
        <v>28305</v>
      </c>
      <c r="W45" s="24" t="s">
        <v>18</v>
      </c>
    </row>
    <row r="46" spans="1:23" ht="15.75" thickTop="1" x14ac:dyDescent="0.25">
      <c r="O46" s="12"/>
      <c r="P46" s="37" t="s">
        <v>128</v>
      </c>
      <c r="Q46" s="152" t="s">
        <v>104</v>
      </c>
      <c r="R46" s="23" t="s">
        <v>178</v>
      </c>
      <c r="S46" s="69">
        <v>20</v>
      </c>
      <c r="T46" s="63">
        <f>+$T$23</f>
        <v>26000</v>
      </c>
      <c r="U46" s="71">
        <f t="shared" si="15"/>
        <v>2860</v>
      </c>
      <c r="V46" s="71">
        <f t="shared" si="16"/>
        <v>28860</v>
      </c>
      <c r="W46" s="24" t="s">
        <v>18</v>
      </c>
    </row>
    <row r="47" spans="1:23" x14ac:dyDescent="0.25">
      <c r="K47" s="66"/>
      <c r="O47" s="12"/>
      <c r="P47" s="37" t="s">
        <v>129</v>
      </c>
      <c r="Q47" s="152" t="s">
        <v>104</v>
      </c>
      <c r="R47" s="23" t="s">
        <v>178</v>
      </c>
      <c r="S47" s="69">
        <v>25</v>
      </c>
      <c r="T47" s="63">
        <f t="shared" ref="T47:T66" si="23">+$T$23</f>
        <v>26000</v>
      </c>
      <c r="U47" s="71">
        <f t="shared" si="15"/>
        <v>2860</v>
      </c>
      <c r="V47" s="71">
        <f t="shared" si="16"/>
        <v>28860</v>
      </c>
      <c r="W47" s="24" t="s">
        <v>18</v>
      </c>
    </row>
    <row r="48" spans="1:23" x14ac:dyDescent="0.25">
      <c r="K48" s="123"/>
      <c r="O48" s="6"/>
      <c r="P48" s="37" t="s">
        <v>130</v>
      </c>
      <c r="Q48" s="152" t="s">
        <v>104</v>
      </c>
      <c r="R48" s="23" t="s">
        <v>178</v>
      </c>
      <c r="S48" s="69">
        <v>30</v>
      </c>
      <c r="T48" s="63">
        <f t="shared" si="23"/>
        <v>26000</v>
      </c>
      <c r="U48" s="71">
        <f t="shared" si="15"/>
        <v>2860</v>
      </c>
      <c r="V48" s="71">
        <f t="shared" si="16"/>
        <v>28860</v>
      </c>
      <c r="W48" s="24" t="s">
        <v>18</v>
      </c>
    </row>
    <row r="49" spans="12:23" x14ac:dyDescent="0.25">
      <c r="O49" s="9"/>
      <c r="P49" s="37" t="s">
        <v>131</v>
      </c>
      <c r="Q49" s="152" t="s">
        <v>104</v>
      </c>
      <c r="R49" s="23" t="s">
        <v>178</v>
      </c>
      <c r="S49" s="69">
        <v>35</v>
      </c>
      <c r="T49" s="63">
        <f t="shared" si="23"/>
        <v>26000</v>
      </c>
      <c r="U49" s="71">
        <f t="shared" si="15"/>
        <v>2860</v>
      </c>
      <c r="V49" s="71">
        <f t="shared" si="16"/>
        <v>28860</v>
      </c>
      <c r="W49" s="24" t="s">
        <v>18</v>
      </c>
    </row>
    <row r="50" spans="12:23" x14ac:dyDescent="0.25">
      <c r="L50">
        <f>4923-4881.16</f>
        <v>41.840000000000146</v>
      </c>
      <c r="O50" s="9"/>
      <c r="P50" s="37" t="s">
        <v>132</v>
      </c>
      <c r="Q50" s="152" t="s">
        <v>104</v>
      </c>
      <c r="R50" s="23" t="s">
        <v>178</v>
      </c>
      <c r="S50" s="69">
        <v>40</v>
      </c>
      <c r="T50" s="63">
        <f t="shared" si="23"/>
        <v>26000</v>
      </c>
      <c r="U50" s="71">
        <f t="shared" si="15"/>
        <v>2860</v>
      </c>
      <c r="V50" s="71">
        <f t="shared" si="16"/>
        <v>28860</v>
      </c>
      <c r="W50" s="24" t="s">
        <v>18</v>
      </c>
    </row>
    <row r="51" spans="12:23" x14ac:dyDescent="0.25">
      <c r="O51" s="14"/>
      <c r="P51" s="37" t="s">
        <v>133</v>
      </c>
      <c r="Q51" s="152" t="s">
        <v>104</v>
      </c>
      <c r="R51" s="23" t="s">
        <v>178</v>
      </c>
      <c r="S51" s="69">
        <v>45</v>
      </c>
      <c r="T51" s="63">
        <f t="shared" si="23"/>
        <v>26000</v>
      </c>
      <c r="U51" s="71">
        <f t="shared" si="15"/>
        <v>2860</v>
      </c>
      <c r="V51" s="71">
        <f t="shared" si="16"/>
        <v>28860</v>
      </c>
      <c r="W51" s="24" t="s">
        <v>18</v>
      </c>
    </row>
    <row r="52" spans="12:23" x14ac:dyDescent="0.25">
      <c r="O52" s="9"/>
      <c r="P52" s="37" t="s">
        <v>134</v>
      </c>
      <c r="Q52" s="152" t="s">
        <v>104</v>
      </c>
      <c r="R52" s="23" t="s">
        <v>178</v>
      </c>
      <c r="S52" s="69">
        <v>50</v>
      </c>
      <c r="T52" s="63">
        <f t="shared" si="23"/>
        <v>26000</v>
      </c>
      <c r="U52" s="71">
        <f t="shared" si="15"/>
        <v>2860</v>
      </c>
      <c r="V52" s="71">
        <f t="shared" si="16"/>
        <v>28860</v>
      </c>
      <c r="W52" s="24" t="s">
        <v>18</v>
      </c>
    </row>
    <row r="53" spans="12:23" x14ac:dyDescent="0.25">
      <c r="O53" s="13"/>
      <c r="P53" s="37" t="s">
        <v>135</v>
      </c>
      <c r="Q53" s="152" t="s">
        <v>104</v>
      </c>
      <c r="R53" s="23" t="s">
        <v>178</v>
      </c>
      <c r="S53" s="69">
        <v>55</v>
      </c>
      <c r="T53" s="63">
        <f t="shared" si="23"/>
        <v>26000</v>
      </c>
      <c r="U53" s="71">
        <f t="shared" si="15"/>
        <v>2860</v>
      </c>
      <c r="V53" s="71">
        <f t="shared" si="16"/>
        <v>28860</v>
      </c>
      <c r="W53" s="24" t="s">
        <v>18</v>
      </c>
    </row>
    <row r="54" spans="12:23" x14ac:dyDescent="0.25">
      <c r="O54" s="14"/>
      <c r="P54" s="37" t="s">
        <v>136</v>
      </c>
      <c r="Q54" s="152" t="s">
        <v>104</v>
      </c>
      <c r="R54" s="23" t="s">
        <v>178</v>
      </c>
      <c r="S54" s="69">
        <v>60</v>
      </c>
      <c r="T54" s="63">
        <f t="shared" si="23"/>
        <v>26000</v>
      </c>
      <c r="U54" s="71">
        <f t="shared" si="15"/>
        <v>2860</v>
      </c>
      <c r="V54" s="71">
        <f t="shared" si="16"/>
        <v>28860</v>
      </c>
      <c r="W54" s="24" t="s">
        <v>18</v>
      </c>
    </row>
    <row r="55" spans="12:23" x14ac:dyDescent="0.25">
      <c r="O55" s="14"/>
      <c r="P55" s="37" t="s">
        <v>137</v>
      </c>
      <c r="Q55" s="152" t="s">
        <v>104</v>
      </c>
      <c r="R55" s="23" t="s">
        <v>178</v>
      </c>
      <c r="S55" s="69">
        <v>65</v>
      </c>
      <c r="T55" s="63">
        <f t="shared" si="23"/>
        <v>26000</v>
      </c>
      <c r="U55" s="71">
        <f t="shared" si="15"/>
        <v>2860</v>
      </c>
      <c r="V55" s="71">
        <f t="shared" si="16"/>
        <v>28860</v>
      </c>
      <c r="W55" s="24" t="s">
        <v>18</v>
      </c>
    </row>
    <row r="56" spans="12:23" x14ac:dyDescent="0.25">
      <c r="P56" s="37" t="s">
        <v>138</v>
      </c>
      <c r="Q56" s="152" t="s">
        <v>104</v>
      </c>
      <c r="R56" s="23" t="s">
        <v>178</v>
      </c>
      <c r="S56" s="69">
        <v>70</v>
      </c>
      <c r="T56" s="63">
        <f t="shared" si="23"/>
        <v>26000</v>
      </c>
      <c r="U56" s="71">
        <f t="shared" si="15"/>
        <v>2860</v>
      </c>
      <c r="V56" s="71">
        <f t="shared" si="16"/>
        <v>28860</v>
      </c>
      <c r="W56" s="24" t="s">
        <v>18</v>
      </c>
    </row>
    <row r="57" spans="12:23" x14ac:dyDescent="0.25">
      <c r="P57" s="37" t="s">
        <v>139</v>
      </c>
      <c r="Q57" s="152" t="s">
        <v>104</v>
      </c>
      <c r="R57" s="23" t="s">
        <v>178</v>
      </c>
      <c r="S57" s="69">
        <v>75</v>
      </c>
      <c r="T57" s="63">
        <f t="shared" si="23"/>
        <v>26000</v>
      </c>
      <c r="U57" s="71">
        <f t="shared" si="15"/>
        <v>2860</v>
      </c>
      <c r="V57" s="71">
        <f t="shared" si="16"/>
        <v>28860</v>
      </c>
      <c r="W57" s="24" t="s">
        <v>18</v>
      </c>
    </row>
    <row r="58" spans="12:23" x14ac:dyDescent="0.25">
      <c r="P58" s="37" t="s">
        <v>140</v>
      </c>
      <c r="Q58" s="152" t="s">
        <v>104</v>
      </c>
      <c r="R58" s="23" t="s">
        <v>178</v>
      </c>
      <c r="S58" s="69">
        <v>80</v>
      </c>
      <c r="T58" s="63">
        <f t="shared" si="23"/>
        <v>26000</v>
      </c>
      <c r="U58" s="71">
        <f t="shared" si="15"/>
        <v>2860</v>
      </c>
      <c r="V58" s="71">
        <f t="shared" si="16"/>
        <v>28860</v>
      </c>
      <c r="W58" s="24" t="s">
        <v>18</v>
      </c>
    </row>
    <row r="59" spans="12:23" x14ac:dyDescent="0.25">
      <c r="P59" s="37" t="s">
        <v>141</v>
      </c>
      <c r="Q59" s="152" t="s">
        <v>104</v>
      </c>
      <c r="R59" s="23" t="s">
        <v>178</v>
      </c>
      <c r="S59" s="69">
        <v>85</v>
      </c>
      <c r="T59" s="63">
        <f t="shared" si="23"/>
        <v>26000</v>
      </c>
      <c r="U59" s="71">
        <f t="shared" si="15"/>
        <v>2860</v>
      </c>
      <c r="V59" s="71">
        <f t="shared" si="16"/>
        <v>28860</v>
      </c>
      <c r="W59" s="24" t="s">
        <v>18</v>
      </c>
    </row>
    <row r="60" spans="12:23" x14ac:dyDescent="0.25">
      <c r="P60" s="37" t="s">
        <v>142</v>
      </c>
      <c r="Q60" s="152" t="s">
        <v>104</v>
      </c>
      <c r="R60" s="23" t="s">
        <v>178</v>
      </c>
      <c r="S60" s="69">
        <v>90</v>
      </c>
      <c r="T60" s="63">
        <f t="shared" si="23"/>
        <v>26000</v>
      </c>
      <c r="U60" s="71">
        <f t="shared" si="15"/>
        <v>2860</v>
      </c>
      <c r="V60" s="71">
        <f t="shared" si="16"/>
        <v>28860</v>
      </c>
      <c r="W60" s="24" t="s">
        <v>18</v>
      </c>
    </row>
    <row r="61" spans="12:23" x14ac:dyDescent="0.25">
      <c r="P61" s="37" t="s">
        <v>143</v>
      </c>
      <c r="Q61" s="152" t="s">
        <v>104</v>
      </c>
      <c r="R61" s="23" t="s">
        <v>178</v>
      </c>
      <c r="S61" s="69">
        <v>95</v>
      </c>
      <c r="T61" s="63">
        <f t="shared" si="23"/>
        <v>26000</v>
      </c>
      <c r="U61" s="71">
        <f t="shared" si="15"/>
        <v>2860</v>
      </c>
      <c r="V61" s="71">
        <f t="shared" si="16"/>
        <v>28860</v>
      </c>
      <c r="W61" s="24" t="s">
        <v>18</v>
      </c>
    </row>
    <row r="62" spans="12:23" x14ac:dyDescent="0.25">
      <c r="P62" s="37" t="s">
        <v>144</v>
      </c>
      <c r="Q62" s="152" t="s">
        <v>104</v>
      </c>
      <c r="R62" s="23" t="s">
        <v>178</v>
      </c>
      <c r="S62" s="69">
        <v>100</v>
      </c>
      <c r="T62" s="63">
        <f t="shared" si="23"/>
        <v>26000</v>
      </c>
      <c r="U62" s="71">
        <f t="shared" si="15"/>
        <v>2860</v>
      </c>
      <c r="V62" s="71">
        <f t="shared" si="16"/>
        <v>28860</v>
      </c>
      <c r="W62" s="24" t="s">
        <v>18</v>
      </c>
    </row>
    <row r="63" spans="12:23" x14ac:dyDescent="0.25">
      <c r="P63" s="37" t="s">
        <v>145</v>
      </c>
      <c r="Q63" s="152" t="s">
        <v>104</v>
      </c>
      <c r="R63" s="23" t="s">
        <v>178</v>
      </c>
      <c r="S63" s="69">
        <v>105</v>
      </c>
      <c r="T63" s="63">
        <f t="shared" si="23"/>
        <v>26000</v>
      </c>
      <c r="U63" s="71">
        <f t="shared" si="15"/>
        <v>2860</v>
      </c>
      <c r="V63" s="71">
        <f t="shared" si="16"/>
        <v>28860</v>
      </c>
      <c r="W63" s="24" t="s">
        <v>18</v>
      </c>
    </row>
    <row r="64" spans="12:23" x14ac:dyDescent="0.25">
      <c r="P64" s="37" t="s">
        <v>146</v>
      </c>
      <c r="Q64" s="152" t="s">
        <v>104</v>
      </c>
      <c r="R64" s="23" t="s">
        <v>178</v>
      </c>
      <c r="S64" s="69">
        <v>110</v>
      </c>
      <c r="T64" s="63">
        <f t="shared" si="23"/>
        <v>26000</v>
      </c>
      <c r="U64" s="71">
        <f t="shared" si="15"/>
        <v>2860</v>
      </c>
      <c r="V64" s="71">
        <f t="shared" si="16"/>
        <v>28860</v>
      </c>
      <c r="W64" s="24" t="s">
        <v>18</v>
      </c>
    </row>
    <row r="65" spans="16:24" x14ac:dyDescent="0.25">
      <c r="P65" s="37" t="s">
        <v>147</v>
      </c>
      <c r="Q65" s="152" t="s">
        <v>104</v>
      </c>
      <c r="R65" s="23" t="s">
        <v>178</v>
      </c>
      <c r="S65" s="69">
        <v>115</v>
      </c>
      <c r="T65" s="63">
        <f t="shared" si="23"/>
        <v>26000</v>
      </c>
      <c r="U65" s="71">
        <f t="shared" si="15"/>
        <v>2860</v>
      </c>
      <c r="V65" s="71">
        <f t="shared" si="16"/>
        <v>28860</v>
      </c>
      <c r="W65" s="24" t="s">
        <v>18</v>
      </c>
    </row>
    <row r="66" spans="16:24" x14ac:dyDescent="0.25">
      <c r="P66" s="37" t="s">
        <v>148</v>
      </c>
      <c r="Q66" s="152" t="s">
        <v>104</v>
      </c>
      <c r="R66" s="23" t="s">
        <v>178</v>
      </c>
      <c r="S66" s="69">
        <v>120</v>
      </c>
      <c r="T66" s="63">
        <f t="shared" si="23"/>
        <v>26000</v>
      </c>
      <c r="U66" s="71">
        <f t="shared" si="15"/>
        <v>2860</v>
      </c>
      <c r="V66" s="71">
        <f t="shared" si="16"/>
        <v>28860</v>
      </c>
      <c r="W66" s="24" t="s">
        <v>18</v>
      </c>
    </row>
    <row r="67" spans="16:24" x14ac:dyDescent="0.25">
      <c r="P67" s="37"/>
      <c r="Q67" s="152"/>
      <c r="R67" s="23"/>
      <c r="S67" s="69"/>
      <c r="T67" s="63"/>
      <c r="U67" s="71"/>
      <c r="V67" s="71"/>
      <c r="W67" s="24"/>
    </row>
    <row r="68" spans="16:24" x14ac:dyDescent="0.25">
      <c r="P68" s="37"/>
      <c r="Q68" s="152"/>
      <c r="R68" s="23"/>
      <c r="S68" s="69"/>
      <c r="T68" s="63"/>
      <c r="U68" s="71"/>
      <c r="V68" s="71"/>
      <c r="W68" s="24"/>
    </row>
    <row r="69" spans="16:24" ht="15.75" thickBot="1" x14ac:dyDescent="0.3">
      <c r="P69" s="38">
        <v>0</v>
      </c>
      <c r="Q69" s="26"/>
      <c r="R69" s="25"/>
      <c r="S69" s="72"/>
      <c r="T69" s="73"/>
      <c r="U69" s="73"/>
      <c r="V69" s="73"/>
      <c r="W69" s="27"/>
    </row>
    <row r="70" spans="16:24" ht="15.75" thickTop="1" x14ac:dyDescent="0.25">
      <c r="P70" s="12"/>
    </row>
    <row r="71" spans="16:24" ht="15.75" thickBot="1" x14ac:dyDescent="0.3">
      <c r="P71" s="160" t="s">
        <v>203</v>
      </c>
      <c r="Q71" s="160"/>
      <c r="R71" s="160"/>
      <c r="S71" s="160"/>
      <c r="T71" s="160"/>
      <c r="U71" s="160"/>
      <c r="V71" s="160"/>
      <c r="W71" s="160"/>
    </row>
    <row r="72" spans="16:24" ht="31.5" thickTop="1" thickBot="1" x14ac:dyDescent="0.3">
      <c r="P72" s="91" t="s">
        <v>31</v>
      </c>
      <c r="Q72" s="92" t="s">
        <v>32</v>
      </c>
      <c r="R72" s="92" t="s">
        <v>30</v>
      </c>
      <c r="S72" s="92" t="s">
        <v>85</v>
      </c>
      <c r="T72" s="92" t="s">
        <v>34</v>
      </c>
      <c r="U72" s="93" t="s">
        <v>35</v>
      </c>
      <c r="V72" s="92" t="s">
        <v>84</v>
      </c>
      <c r="W72" s="92" t="s">
        <v>36</v>
      </c>
      <c r="X72" s="97" t="s">
        <v>189</v>
      </c>
    </row>
    <row r="73" spans="16:24" ht="15.75" thickTop="1" x14ac:dyDescent="0.25">
      <c r="P73" s="39">
        <v>1</v>
      </c>
      <c r="Q73" s="90">
        <v>100</v>
      </c>
      <c r="R73" s="90">
        <f>+$F$9</f>
        <v>0</v>
      </c>
      <c r="S73" s="90">
        <f>+$L$11*300</f>
        <v>329611.39199999999</v>
      </c>
      <c r="T73" s="90">
        <v>1500000</v>
      </c>
      <c r="U73" s="90">
        <f>(Q73-3000)*50*R73</f>
        <v>0</v>
      </c>
      <c r="V73" s="90">
        <f t="shared" ref="V73:V103" si="24">75000*R73</f>
        <v>0</v>
      </c>
      <c r="W73" s="90">
        <f>100000*R73</f>
        <v>0</v>
      </c>
      <c r="X73" s="94">
        <f>IF(R73&gt;0,SUM(S73:W73)/Q73,0)</f>
        <v>0</v>
      </c>
    </row>
    <row r="74" spans="16:24" x14ac:dyDescent="0.25">
      <c r="P74" s="15">
        <f>+P73+1</f>
        <v>2</v>
      </c>
      <c r="Q74" s="69">
        <v>200</v>
      </c>
      <c r="R74" s="69">
        <f>+$F$9</f>
        <v>0</v>
      </c>
      <c r="S74" s="69">
        <f t="shared" ref="S74:S103" si="25">+$L$11*300</f>
        <v>329611.39199999999</v>
      </c>
      <c r="T74" s="69">
        <v>1500000</v>
      </c>
      <c r="U74" s="69">
        <f>(Q74-3000)*50*R74</f>
        <v>0</v>
      </c>
      <c r="V74" s="69">
        <f t="shared" si="24"/>
        <v>0</v>
      </c>
      <c r="W74" s="69">
        <f t="shared" ref="W74:W81" si="26">100000*R74</f>
        <v>0</v>
      </c>
      <c r="X74" s="95">
        <f t="shared" ref="X74:X76" si="27">IF(R74&gt;0,SUM(S74:W74)/Q74,0)</f>
        <v>0</v>
      </c>
    </row>
    <row r="75" spans="16:24" x14ac:dyDescent="0.25">
      <c r="P75" s="15">
        <f t="shared" ref="P75:P103" si="28">+P74+1</f>
        <v>3</v>
      </c>
      <c r="Q75" s="69">
        <v>300</v>
      </c>
      <c r="R75" s="69">
        <f t="shared" ref="R75:R103" si="29">+$F$9</f>
        <v>0</v>
      </c>
      <c r="S75" s="69">
        <f t="shared" si="25"/>
        <v>329611.39199999999</v>
      </c>
      <c r="T75" s="69">
        <v>1500000</v>
      </c>
      <c r="U75" s="69">
        <f>(Q75-3000)*50*R75</f>
        <v>0</v>
      </c>
      <c r="V75" s="69">
        <f t="shared" si="24"/>
        <v>0</v>
      </c>
      <c r="W75" s="69">
        <f t="shared" si="26"/>
        <v>0</v>
      </c>
      <c r="X75" s="95">
        <f t="shared" si="27"/>
        <v>0</v>
      </c>
    </row>
    <row r="76" spans="16:24" x14ac:dyDescent="0.25">
      <c r="P76" s="15">
        <f t="shared" si="28"/>
        <v>4</v>
      </c>
      <c r="Q76" s="69">
        <v>500</v>
      </c>
      <c r="R76" s="69">
        <f t="shared" si="29"/>
        <v>0</v>
      </c>
      <c r="S76" s="69">
        <f t="shared" si="25"/>
        <v>329611.39199999999</v>
      </c>
      <c r="T76" s="69">
        <v>1500000</v>
      </c>
      <c r="U76" s="69">
        <f>(Q76-3000)*50*R76</f>
        <v>0</v>
      </c>
      <c r="V76" s="69">
        <f t="shared" si="24"/>
        <v>0</v>
      </c>
      <c r="W76" s="69">
        <f t="shared" si="26"/>
        <v>0</v>
      </c>
      <c r="X76" s="95">
        <f t="shared" si="27"/>
        <v>0</v>
      </c>
    </row>
    <row r="77" spans="16:24" x14ac:dyDescent="0.25">
      <c r="P77" s="15">
        <f t="shared" si="28"/>
        <v>5</v>
      </c>
      <c r="Q77" s="69">
        <v>1000</v>
      </c>
      <c r="R77" s="69">
        <f t="shared" si="29"/>
        <v>0</v>
      </c>
      <c r="S77" s="69">
        <f t="shared" si="25"/>
        <v>329611.39199999999</v>
      </c>
      <c r="T77" s="69">
        <v>1500000</v>
      </c>
      <c r="U77" s="69">
        <f t="shared" ref="U77:U103" si="30">(Q77-3000)*50*R77</f>
        <v>0</v>
      </c>
      <c r="V77" s="69">
        <f t="shared" si="24"/>
        <v>0</v>
      </c>
      <c r="W77" s="69">
        <f t="shared" si="26"/>
        <v>0</v>
      </c>
      <c r="X77" s="95">
        <f t="shared" ref="X77:X103" si="31">IF(R77&gt;0,SUM(S77:W77)/Q77,0)</f>
        <v>0</v>
      </c>
    </row>
    <row r="78" spans="16:24" x14ac:dyDescent="0.25">
      <c r="P78" s="15">
        <f t="shared" si="28"/>
        <v>6</v>
      </c>
      <c r="Q78" s="69">
        <v>2000</v>
      </c>
      <c r="R78" s="69">
        <f t="shared" si="29"/>
        <v>0</v>
      </c>
      <c r="S78" s="69">
        <f t="shared" si="25"/>
        <v>329611.39199999999</v>
      </c>
      <c r="T78" s="69">
        <v>1500000</v>
      </c>
      <c r="U78" s="69">
        <f t="shared" si="30"/>
        <v>0</v>
      </c>
      <c r="V78" s="69">
        <f t="shared" si="24"/>
        <v>0</v>
      </c>
      <c r="W78" s="69">
        <f t="shared" si="26"/>
        <v>0</v>
      </c>
      <c r="X78" s="95">
        <f t="shared" si="31"/>
        <v>0</v>
      </c>
    </row>
    <row r="79" spans="16:24" x14ac:dyDescent="0.25">
      <c r="P79" s="15">
        <f t="shared" si="28"/>
        <v>7</v>
      </c>
      <c r="Q79" s="69">
        <v>3000</v>
      </c>
      <c r="R79" s="69">
        <f t="shared" si="29"/>
        <v>0</v>
      </c>
      <c r="S79" s="69">
        <f t="shared" si="25"/>
        <v>329611.39199999999</v>
      </c>
      <c r="T79" s="69">
        <v>1500000</v>
      </c>
      <c r="U79" s="69">
        <f t="shared" si="30"/>
        <v>0</v>
      </c>
      <c r="V79" s="69">
        <f t="shared" si="24"/>
        <v>0</v>
      </c>
      <c r="W79" s="69">
        <f t="shared" si="26"/>
        <v>0</v>
      </c>
      <c r="X79" s="95">
        <f t="shared" si="31"/>
        <v>0</v>
      </c>
    </row>
    <row r="80" spans="16:24" x14ac:dyDescent="0.25">
      <c r="P80" s="15">
        <f t="shared" si="28"/>
        <v>8</v>
      </c>
      <c r="Q80" s="69">
        <v>4000</v>
      </c>
      <c r="R80" s="69">
        <f t="shared" si="29"/>
        <v>0</v>
      </c>
      <c r="S80" s="69">
        <f t="shared" si="25"/>
        <v>329611.39199999999</v>
      </c>
      <c r="T80" s="69">
        <v>1500000</v>
      </c>
      <c r="U80" s="69">
        <f t="shared" si="30"/>
        <v>0</v>
      </c>
      <c r="V80" s="69">
        <f t="shared" si="24"/>
        <v>0</v>
      </c>
      <c r="W80" s="69">
        <f t="shared" si="26"/>
        <v>0</v>
      </c>
      <c r="X80" s="95">
        <f t="shared" si="31"/>
        <v>0</v>
      </c>
    </row>
    <row r="81" spans="16:24" x14ac:dyDescent="0.25">
      <c r="P81" s="15">
        <f t="shared" si="28"/>
        <v>9</v>
      </c>
      <c r="Q81" s="69">
        <v>5000</v>
      </c>
      <c r="R81" s="69">
        <f t="shared" si="29"/>
        <v>0</v>
      </c>
      <c r="S81" s="69">
        <f t="shared" si="25"/>
        <v>329611.39199999999</v>
      </c>
      <c r="T81" s="69">
        <v>1500000</v>
      </c>
      <c r="U81" s="69">
        <f t="shared" si="30"/>
        <v>0</v>
      </c>
      <c r="V81" s="69">
        <f t="shared" si="24"/>
        <v>0</v>
      </c>
      <c r="W81" s="69">
        <f t="shared" si="26"/>
        <v>0</v>
      </c>
      <c r="X81" s="95">
        <f t="shared" si="31"/>
        <v>0</v>
      </c>
    </row>
    <row r="82" spans="16:24" x14ac:dyDescent="0.25">
      <c r="P82" s="15">
        <f t="shared" si="28"/>
        <v>10</v>
      </c>
      <c r="Q82" s="69">
        <v>6000</v>
      </c>
      <c r="R82" s="69">
        <f t="shared" si="29"/>
        <v>0</v>
      </c>
      <c r="S82" s="69">
        <f t="shared" si="25"/>
        <v>329611.39199999999</v>
      </c>
      <c r="T82" s="69">
        <v>1500000</v>
      </c>
      <c r="U82" s="69">
        <f t="shared" si="30"/>
        <v>0</v>
      </c>
      <c r="V82" s="69">
        <f t="shared" si="24"/>
        <v>0</v>
      </c>
      <c r="W82" s="69">
        <f>+$W$73*Q82/$Q$81</f>
        <v>0</v>
      </c>
      <c r="X82" s="95">
        <f t="shared" si="31"/>
        <v>0</v>
      </c>
    </row>
    <row r="83" spans="16:24" x14ac:dyDescent="0.25">
      <c r="P83" s="15">
        <f t="shared" si="28"/>
        <v>11</v>
      </c>
      <c r="Q83" s="69">
        <v>7000</v>
      </c>
      <c r="R83" s="69">
        <f t="shared" si="29"/>
        <v>0</v>
      </c>
      <c r="S83" s="69">
        <f t="shared" si="25"/>
        <v>329611.39199999999</v>
      </c>
      <c r="T83" s="69">
        <v>1500000</v>
      </c>
      <c r="U83" s="69">
        <f t="shared" si="30"/>
        <v>0</v>
      </c>
      <c r="V83" s="69">
        <f t="shared" si="24"/>
        <v>0</v>
      </c>
      <c r="W83" s="69">
        <f t="shared" ref="W83:W103" si="32">+$W$73*Q83/$Q$81</f>
        <v>0</v>
      </c>
      <c r="X83" s="95">
        <f t="shared" si="31"/>
        <v>0</v>
      </c>
    </row>
    <row r="84" spans="16:24" x14ac:dyDescent="0.25">
      <c r="P84" s="15">
        <f t="shared" si="28"/>
        <v>12</v>
      </c>
      <c r="Q84" s="69">
        <v>8000</v>
      </c>
      <c r="R84" s="69">
        <f t="shared" si="29"/>
        <v>0</v>
      </c>
      <c r="S84" s="69">
        <f t="shared" si="25"/>
        <v>329611.39199999999</v>
      </c>
      <c r="T84" s="69">
        <v>1500000</v>
      </c>
      <c r="U84" s="69">
        <f t="shared" si="30"/>
        <v>0</v>
      </c>
      <c r="V84" s="69">
        <f t="shared" si="24"/>
        <v>0</v>
      </c>
      <c r="W84" s="69">
        <f t="shared" si="32"/>
        <v>0</v>
      </c>
      <c r="X84" s="95">
        <f t="shared" si="31"/>
        <v>0</v>
      </c>
    </row>
    <row r="85" spans="16:24" x14ac:dyDescent="0.25">
      <c r="P85" s="15">
        <f t="shared" si="28"/>
        <v>13</v>
      </c>
      <c r="Q85" s="69">
        <v>10000</v>
      </c>
      <c r="R85" s="69">
        <f t="shared" si="29"/>
        <v>0</v>
      </c>
      <c r="S85" s="69">
        <f t="shared" si="25"/>
        <v>329611.39199999999</v>
      </c>
      <c r="T85" s="69">
        <v>1500000</v>
      </c>
      <c r="U85" s="69">
        <f t="shared" si="30"/>
        <v>0</v>
      </c>
      <c r="V85" s="69">
        <f t="shared" si="24"/>
        <v>0</v>
      </c>
      <c r="W85" s="69">
        <f t="shared" si="32"/>
        <v>0</v>
      </c>
      <c r="X85" s="95">
        <f t="shared" si="31"/>
        <v>0</v>
      </c>
    </row>
    <row r="86" spans="16:24" x14ac:dyDescent="0.25">
      <c r="P86" s="15">
        <f t="shared" si="28"/>
        <v>14</v>
      </c>
      <c r="Q86" s="69">
        <v>15000</v>
      </c>
      <c r="R86" s="69">
        <f t="shared" si="29"/>
        <v>0</v>
      </c>
      <c r="S86" s="69">
        <f t="shared" si="25"/>
        <v>329611.39199999999</v>
      </c>
      <c r="T86" s="69">
        <v>1500000</v>
      </c>
      <c r="U86" s="69">
        <f t="shared" si="30"/>
        <v>0</v>
      </c>
      <c r="V86" s="69">
        <f t="shared" si="24"/>
        <v>0</v>
      </c>
      <c r="W86" s="69">
        <f t="shared" si="32"/>
        <v>0</v>
      </c>
      <c r="X86" s="95">
        <f t="shared" si="31"/>
        <v>0</v>
      </c>
    </row>
    <row r="87" spans="16:24" x14ac:dyDescent="0.25">
      <c r="P87" s="15">
        <f t="shared" si="28"/>
        <v>15</v>
      </c>
      <c r="Q87" s="69">
        <v>20000</v>
      </c>
      <c r="R87" s="69">
        <f t="shared" si="29"/>
        <v>0</v>
      </c>
      <c r="S87" s="69">
        <f t="shared" si="25"/>
        <v>329611.39199999999</v>
      </c>
      <c r="T87" s="69">
        <v>1500000</v>
      </c>
      <c r="U87" s="69">
        <f t="shared" si="30"/>
        <v>0</v>
      </c>
      <c r="V87" s="69">
        <f t="shared" si="24"/>
        <v>0</v>
      </c>
      <c r="W87" s="69">
        <f t="shared" si="32"/>
        <v>0</v>
      </c>
      <c r="X87" s="95">
        <f t="shared" si="31"/>
        <v>0</v>
      </c>
    </row>
    <row r="88" spans="16:24" x14ac:dyDescent="0.25">
      <c r="P88" s="15">
        <f t="shared" si="28"/>
        <v>16</v>
      </c>
      <c r="Q88" s="69">
        <v>25000</v>
      </c>
      <c r="R88" s="69">
        <f t="shared" si="29"/>
        <v>0</v>
      </c>
      <c r="S88" s="69">
        <f t="shared" si="25"/>
        <v>329611.39199999999</v>
      </c>
      <c r="T88" s="69">
        <v>1500000</v>
      </c>
      <c r="U88" s="69">
        <f t="shared" si="30"/>
        <v>0</v>
      </c>
      <c r="V88" s="69">
        <f t="shared" si="24"/>
        <v>0</v>
      </c>
      <c r="W88" s="69">
        <f t="shared" si="32"/>
        <v>0</v>
      </c>
      <c r="X88" s="95">
        <f t="shared" si="31"/>
        <v>0</v>
      </c>
    </row>
    <row r="89" spans="16:24" x14ac:dyDescent="0.25">
      <c r="P89" s="15">
        <f t="shared" si="28"/>
        <v>17</v>
      </c>
      <c r="Q89" s="69">
        <v>30000</v>
      </c>
      <c r="R89" s="69">
        <f t="shared" si="29"/>
        <v>0</v>
      </c>
      <c r="S89" s="69">
        <f t="shared" si="25"/>
        <v>329611.39199999999</v>
      </c>
      <c r="T89" s="69">
        <v>1500000</v>
      </c>
      <c r="U89" s="69">
        <f t="shared" si="30"/>
        <v>0</v>
      </c>
      <c r="V89" s="69">
        <f t="shared" si="24"/>
        <v>0</v>
      </c>
      <c r="W89" s="69">
        <f t="shared" si="32"/>
        <v>0</v>
      </c>
      <c r="X89" s="95">
        <f t="shared" si="31"/>
        <v>0</v>
      </c>
    </row>
    <row r="90" spans="16:24" x14ac:dyDescent="0.25">
      <c r="P90" s="15">
        <f t="shared" si="28"/>
        <v>18</v>
      </c>
      <c r="Q90" s="69">
        <v>35000</v>
      </c>
      <c r="R90" s="69">
        <f t="shared" si="29"/>
        <v>0</v>
      </c>
      <c r="S90" s="69">
        <f t="shared" si="25"/>
        <v>329611.39199999999</v>
      </c>
      <c r="T90" s="69">
        <v>1500000</v>
      </c>
      <c r="U90" s="69">
        <f t="shared" si="30"/>
        <v>0</v>
      </c>
      <c r="V90" s="69">
        <f t="shared" si="24"/>
        <v>0</v>
      </c>
      <c r="W90" s="69">
        <f t="shared" si="32"/>
        <v>0</v>
      </c>
      <c r="X90" s="95">
        <f t="shared" si="31"/>
        <v>0</v>
      </c>
    </row>
    <row r="91" spans="16:24" x14ac:dyDescent="0.25">
      <c r="P91" s="15">
        <f t="shared" si="28"/>
        <v>19</v>
      </c>
      <c r="Q91" s="69">
        <v>40000</v>
      </c>
      <c r="R91" s="69">
        <f t="shared" si="29"/>
        <v>0</v>
      </c>
      <c r="S91" s="69">
        <f t="shared" si="25"/>
        <v>329611.39199999999</v>
      </c>
      <c r="T91" s="69">
        <v>1500000</v>
      </c>
      <c r="U91" s="69">
        <f t="shared" si="30"/>
        <v>0</v>
      </c>
      <c r="V91" s="69">
        <f t="shared" si="24"/>
        <v>0</v>
      </c>
      <c r="W91" s="69">
        <f t="shared" si="32"/>
        <v>0</v>
      </c>
      <c r="X91" s="95">
        <f t="shared" si="31"/>
        <v>0</v>
      </c>
    </row>
    <row r="92" spans="16:24" x14ac:dyDescent="0.25">
      <c r="P92" s="15">
        <f t="shared" si="28"/>
        <v>20</v>
      </c>
      <c r="Q92" s="69">
        <v>45000</v>
      </c>
      <c r="R92" s="69">
        <f t="shared" si="29"/>
        <v>0</v>
      </c>
      <c r="S92" s="69">
        <f t="shared" si="25"/>
        <v>329611.39199999999</v>
      </c>
      <c r="T92" s="69">
        <v>1500000</v>
      </c>
      <c r="U92" s="69">
        <f t="shared" si="30"/>
        <v>0</v>
      </c>
      <c r="V92" s="69">
        <f t="shared" si="24"/>
        <v>0</v>
      </c>
      <c r="W92" s="69">
        <f t="shared" si="32"/>
        <v>0</v>
      </c>
      <c r="X92" s="95">
        <f t="shared" si="31"/>
        <v>0</v>
      </c>
    </row>
    <row r="93" spans="16:24" x14ac:dyDescent="0.25">
      <c r="P93" s="15">
        <f t="shared" si="28"/>
        <v>21</v>
      </c>
      <c r="Q93" s="69">
        <v>50000</v>
      </c>
      <c r="R93" s="69">
        <f t="shared" si="29"/>
        <v>0</v>
      </c>
      <c r="S93" s="69">
        <f t="shared" si="25"/>
        <v>329611.39199999999</v>
      </c>
      <c r="T93" s="69">
        <v>1500000</v>
      </c>
      <c r="U93" s="69">
        <f t="shared" si="30"/>
        <v>0</v>
      </c>
      <c r="V93" s="69">
        <f t="shared" si="24"/>
        <v>0</v>
      </c>
      <c r="W93" s="69">
        <f t="shared" si="32"/>
        <v>0</v>
      </c>
      <c r="X93" s="95">
        <f t="shared" si="31"/>
        <v>0</v>
      </c>
    </row>
    <row r="94" spans="16:24" x14ac:dyDescent="0.25">
      <c r="P94" s="15">
        <f t="shared" si="28"/>
        <v>22</v>
      </c>
      <c r="Q94" s="69">
        <v>55000</v>
      </c>
      <c r="R94" s="69">
        <f t="shared" si="29"/>
        <v>0</v>
      </c>
      <c r="S94" s="69">
        <f t="shared" si="25"/>
        <v>329611.39199999999</v>
      </c>
      <c r="T94" s="69">
        <v>1500000</v>
      </c>
      <c r="U94" s="69">
        <f t="shared" si="30"/>
        <v>0</v>
      </c>
      <c r="V94" s="69">
        <f t="shared" si="24"/>
        <v>0</v>
      </c>
      <c r="W94" s="69">
        <f t="shared" si="32"/>
        <v>0</v>
      </c>
      <c r="X94" s="95">
        <f t="shared" si="31"/>
        <v>0</v>
      </c>
    </row>
    <row r="95" spans="16:24" x14ac:dyDescent="0.25">
      <c r="P95" s="15">
        <f t="shared" si="28"/>
        <v>23</v>
      </c>
      <c r="Q95" s="69">
        <v>60000</v>
      </c>
      <c r="R95" s="69">
        <f t="shared" si="29"/>
        <v>0</v>
      </c>
      <c r="S95" s="69">
        <f t="shared" si="25"/>
        <v>329611.39199999999</v>
      </c>
      <c r="T95" s="69">
        <v>1500000</v>
      </c>
      <c r="U95" s="69">
        <f t="shared" si="30"/>
        <v>0</v>
      </c>
      <c r="V95" s="69">
        <f t="shared" si="24"/>
        <v>0</v>
      </c>
      <c r="W95" s="69">
        <f t="shared" si="32"/>
        <v>0</v>
      </c>
      <c r="X95" s="95">
        <f t="shared" si="31"/>
        <v>0</v>
      </c>
    </row>
    <row r="96" spans="16:24" x14ac:dyDescent="0.25">
      <c r="P96" s="15">
        <f t="shared" si="28"/>
        <v>24</v>
      </c>
      <c r="Q96" s="69">
        <v>65000</v>
      </c>
      <c r="R96" s="69">
        <f t="shared" si="29"/>
        <v>0</v>
      </c>
      <c r="S96" s="69">
        <f t="shared" si="25"/>
        <v>329611.39199999999</v>
      </c>
      <c r="T96" s="69">
        <v>1500000</v>
      </c>
      <c r="U96" s="69">
        <f t="shared" si="30"/>
        <v>0</v>
      </c>
      <c r="V96" s="69">
        <f t="shared" si="24"/>
        <v>0</v>
      </c>
      <c r="W96" s="69">
        <f t="shared" si="32"/>
        <v>0</v>
      </c>
      <c r="X96" s="95">
        <f t="shared" si="31"/>
        <v>0</v>
      </c>
    </row>
    <row r="97" spans="16:24" x14ac:dyDescent="0.25">
      <c r="P97" s="15">
        <f t="shared" si="28"/>
        <v>25</v>
      </c>
      <c r="Q97" s="69">
        <v>70000</v>
      </c>
      <c r="R97" s="69">
        <f t="shared" si="29"/>
        <v>0</v>
      </c>
      <c r="S97" s="69">
        <f t="shared" si="25"/>
        <v>329611.39199999999</v>
      </c>
      <c r="T97" s="69">
        <v>1500000</v>
      </c>
      <c r="U97" s="69">
        <f t="shared" si="30"/>
        <v>0</v>
      </c>
      <c r="V97" s="69">
        <f t="shared" si="24"/>
        <v>0</v>
      </c>
      <c r="W97" s="69">
        <f t="shared" si="32"/>
        <v>0</v>
      </c>
      <c r="X97" s="95">
        <f t="shared" si="31"/>
        <v>0</v>
      </c>
    </row>
    <row r="98" spans="16:24" x14ac:dyDescent="0.25">
      <c r="P98" s="15">
        <f t="shared" si="28"/>
        <v>26</v>
      </c>
      <c r="Q98" s="69">
        <v>75000</v>
      </c>
      <c r="R98" s="69">
        <f t="shared" si="29"/>
        <v>0</v>
      </c>
      <c r="S98" s="69">
        <f t="shared" si="25"/>
        <v>329611.39199999999</v>
      </c>
      <c r="T98" s="69">
        <v>1500000</v>
      </c>
      <c r="U98" s="69">
        <f t="shared" si="30"/>
        <v>0</v>
      </c>
      <c r="V98" s="69">
        <f t="shared" si="24"/>
        <v>0</v>
      </c>
      <c r="W98" s="69">
        <f t="shared" si="32"/>
        <v>0</v>
      </c>
      <c r="X98" s="95">
        <f t="shared" si="31"/>
        <v>0</v>
      </c>
    </row>
    <row r="99" spans="16:24" x14ac:dyDescent="0.25">
      <c r="P99" s="15">
        <f t="shared" si="28"/>
        <v>27</v>
      </c>
      <c r="Q99" s="69">
        <v>80000</v>
      </c>
      <c r="R99" s="69">
        <f t="shared" si="29"/>
        <v>0</v>
      </c>
      <c r="S99" s="69">
        <f t="shared" si="25"/>
        <v>329611.39199999999</v>
      </c>
      <c r="T99" s="69">
        <v>1500000</v>
      </c>
      <c r="U99" s="69">
        <f t="shared" si="30"/>
        <v>0</v>
      </c>
      <c r="V99" s="69">
        <f t="shared" si="24"/>
        <v>0</v>
      </c>
      <c r="W99" s="69">
        <f t="shared" si="32"/>
        <v>0</v>
      </c>
      <c r="X99" s="95">
        <f t="shared" si="31"/>
        <v>0</v>
      </c>
    </row>
    <row r="100" spans="16:24" x14ac:dyDescent="0.25">
      <c r="P100" s="15">
        <f t="shared" si="28"/>
        <v>28</v>
      </c>
      <c r="Q100" s="69">
        <v>85000</v>
      </c>
      <c r="R100" s="69">
        <f t="shared" si="29"/>
        <v>0</v>
      </c>
      <c r="S100" s="69">
        <f t="shared" si="25"/>
        <v>329611.39199999999</v>
      </c>
      <c r="T100" s="69">
        <v>1500000</v>
      </c>
      <c r="U100" s="69">
        <f t="shared" si="30"/>
        <v>0</v>
      </c>
      <c r="V100" s="69">
        <f t="shared" si="24"/>
        <v>0</v>
      </c>
      <c r="W100" s="69">
        <f t="shared" si="32"/>
        <v>0</v>
      </c>
      <c r="X100" s="95">
        <f t="shared" si="31"/>
        <v>0</v>
      </c>
    </row>
    <row r="101" spans="16:24" x14ac:dyDescent="0.25">
      <c r="P101" s="15">
        <f t="shared" si="28"/>
        <v>29</v>
      </c>
      <c r="Q101" s="69">
        <v>90000</v>
      </c>
      <c r="R101" s="69">
        <f t="shared" si="29"/>
        <v>0</v>
      </c>
      <c r="S101" s="69">
        <f t="shared" si="25"/>
        <v>329611.39199999999</v>
      </c>
      <c r="T101" s="69">
        <v>1500000</v>
      </c>
      <c r="U101" s="69">
        <f t="shared" si="30"/>
        <v>0</v>
      </c>
      <c r="V101" s="69">
        <f t="shared" si="24"/>
        <v>0</v>
      </c>
      <c r="W101" s="69">
        <f t="shared" si="32"/>
        <v>0</v>
      </c>
      <c r="X101" s="95">
        <f t="shared" si="31"/>
        <v>0</v>
      </c>
    </row>
    <row r="102" spans="16:24" x14ac:dyDescent="0.25">
      <c r="P102" s="15">
        <f t="shared" si="28"/>
        <v>30</v>
      </c>
      <c r="Q102" s="69">
        <v>95000</v>
      </c>
      <c r="R102" s="69">
        <f t="shared" si="29"/>
        <v>0</v>
      </c>
      <c r="S102" s="69">
        <f t="shared" si="25"/>
        <v>329611.39199999999</v>
      </c>
      <c r="T102" s="69">
        <v>1500000</v>
      </c>
      <c r="U102" s="69">
        <f t="shared" si="30"/>
        <v>0</v>
      </c>
      <c r="V102" s="69">
        <f t="shared" si="24"/>
        <v>0</v>
      </c>
      <c r="W102" s="69">
        <f t="shared" si="32"/>
        <v>0</v>
      </c>
      <c r="X102" s="95">
        <f t="shared" si="31"/>
        <v>0</v>
      </c>
    </row>
    <row r="103" spans="16:24" ht="15.75" thickBot="1" x14ac:dyDescent="0.3">
      <c r="P103" s="16">
        <f t="shared" si="28"/>
        <v>31</v>
      </c>
      <c r="Q103" s="72">
        <v>100000</v>
      </c>
      <c r="R103" s="72">
        <f t="shared" si="29"/>
        <v>0</v>
      </c>
      <c r="S103" s="72">
        <f t="shared" si="25"/>
        <v>329611.39199999999</v>
      </c>
      <c r="T103" s="72">
        <v>1500000</v>
      </c>
      <c r="U103" s="72">
        <f t="shared" si="30"/>
        <v>0</v>
      </c>
      <c r="V103" s="72">
        <f t="shared" si="24"/>
        <v>0</v>
      </c>
      <c r="W103" s="72">
        <f t="shared" si="32"/>
        <v>0</v>
      </c>
      <c r="X103" s="96">
        <f t="shared" si="31"/>
        <v>0</v>
      </c>
    </row>
    <row r="104" spans="16:24" ht="15.75" thickTop="1" x14ac:dyDescent="0.25"/>
    <row r="106" spans="16:24" ht="15.75" thickBot="1" x14ac:dyDescent="0.3">
      <c r="P106" s="160" t="s">
        <v>204</v>
      </c>
      <c r="Q106" s="160"/>
      <c r="R106" s="160"/>
      <c r="S106" s="160"/>
      <c r="T106" s="160"/>
      <c r="U106" s="160"/>
      <c r="V106" s="160"/>
      <c r="W106" s="160"/>
    </row>
    <row r="107" spans="16:24" ht="31.5" thickTop="1" thickBot="1" x14ac:dyDescent="0.3">
      <c r="P107" s="91" t="s">
        <v>31</v>
      </c>
      <c r="Q107" s="92" t="s">
        <v>32</v>
      </c>
      <c r="R107" s="92" t="s">
        <v>30</v>
      </c>
      <c r="S107" s="92" t="s">
        <v>85</v>
      </c>
      <c r="T107" s="92" t="s">
        <v>34</v>
      </c>
      <c r="U107" s="93" t="s">
        <v>35</v>
      </c>
      <c r="V107" s="92" t="s">
        <v>84</v>
      </c>
      <c r="W107" s="92" t="s">
        <v>36</v>
      </c>
      <c r="X107" s="97" t="s">
        <v>189</v>
      </c>
    </row>
    <row r="108" spans="16:24" ht="15.75" thickTop="1" x14ac:dyDescent="0.25">
      <c r="P108" s="39">
        <v>1</v>
      </c>
      <c r="Q108" s="90">
        <v>100</v>
      </c>
      <c r="R108" s="90">
        <f>+$F$9</f>
        <v>0</v>
      </c>
      <c r="S108" s="90">
        <f>+$L$11*300</f>
        <v>329611.39199999999</v>
      </c>
      <c r="T108" s="90">
        <v>2500000</v>
      </c>
      <c r="U108" s="90">
        <f>(Q108-3000)*300</f>
        <v>-870000</v>
      </c>
      <c r="V108" s="90">
        <f>200000*R108</f>
        <v>0</v>
      </c>
      <c r="W108" s="90">
        <f>150000*R108</f>
        <v>0</v>
      </c>
      <c r="X108" s="94">
        <f>IF(R108&gt;0,SUM(S108:W108)/Q108,0)</f>
        <v>0</v>
      </c>
    </row>
    <row r="109" spans="16:24" x14ac:dyDescent="0.25">
      <c r="P109" s="15">
        <f>+P108+1</f>
        <v>2</v>
      </c>
      <c r="Q109" s="69">
        <v>200</v>
      </c>
      <c r="R109" s="69">
        <f>+$F$9</f>
        <v>0</v>
      </c>
      <c r="S109" s="69">
        <f t="shared" ref="S109:S138" si="33">+$L$11*300</f>
        <v>329611.39199999999</v>
      </c>
      <c r="T109" s="69">
        <v>2500000</v>
      </c>
      <c r="U109" s="69">
        <f t="shared" ref="U109:U138" si="34">(Q109-3000)*300</f>
        <v>-840000</v>
      </c>
      <c r="V109" s="69">
        <f t="shared" ref="V109:V138" si="35">200000*R109</f>
        <v>0</v>
      </c>
      <c r="W109" s="69">
        <v>600000</v>
      </c>
      <c r="X109" s="95">
        <f t="shared" ref="X109:X111" si="36">IF(R109&gt;0,SUM(S109:W109)/Q109,0)</f>
        <v>0</v>
      </c>
    </row>
    <row r="110" spans="16:24" x14ac:dyDescent="0.25">
      <c r="P110" s="15">
        <f t="shared" ref="P110:P138" si="37">+P109+1</f>
        <v>3</v>
      </c>
      <c r="Q110" s="69">
        <v>300</v>
      </c>
      <c r="R110" s="69">
        <f t="shared" ref="R110:R138" si="38">+$F$9</f>
        <v>0</v>
      </c>
      <c r="S110" s="69">
        <f t="shared" si="33"/>
        <v>329611.39199999999</v>
      </c>
      <c r="T110" s="69">
        <v>2500000</v>
      </c>
      <c r="U110" s="69">
        <f t="shared" si="34"/>
        <v>-810000</v>
      </c>
      <c r="V110" s="69">
        <f t="shared" si="35"/>
        <v>0</v>
      </c>
      <c r="W110" s="69">
        <v>600000</v>
      </c>
      <c r="X110" s="95">
        <f t="shared" si="36"/>
        <v>0</v>
      </c>
    </row>
    <row r="111" spans="16:24" x14ac:dyDescent="0.25">
      <c r="P111" s="15">
        <f t="shared" si="37"/>
        <v>4</v>
      </c>
      <c r="Q111" s="69">
        <v>500</v>
      </c>
      <c r="R111" s="69">
        <f t="shared" si="38"/>
        <v>0</v>
      </c>
      <c r="S111" s="69">
        <f t="shared" si="33"/>
        <v>329611.39199999999</v>
      </c>
      <c r="T111" s="69">
        <v>2500000</v>
      </c>
      <c r="U111" s="69">
        <f t="shared" si="34"/>
        <v>-750000</v>
      </c>
      <c r="V111" s="69">
        <f t="shared" si="35"/>
        <v>0</v>
      </c>
      <c r="W111" s="69">
        <v>600000</v>
      </c>
      <c r="X111" s="95">
        <f t="shared" si="36"/>
        <v>0</v>
      </c>
    </row>
    <row r="112" spans="16:24" x14ac:dyDescent="0.25">
      <c r="P112" s="15">
        <f t="shared" si="37"/>
        <v>5</v>
      </c>
      <c r="Q112" s="69">
        <v>1000</v>
      </c>
      <c r="R112" s="69">
        <f t="shared" si="38"/>
        <v>0</v>
      </c>
      <c r="S112" s="69">
        <f t="shared" si="33"/>
        <v>329611.39199999999</v>
      </c>
      <c r="T112" s="69">
        <v>2500000</v>
      </c>
      <c r="U112" s="69">
        <f t="shared" si="34"/>
        <v>-600000</v>
      </c>
      <c r="V112" s="69">
        <f t="shared" si="35"/>
        <v>0</v>
      </c>
      <c r="W112" s="69">
        <v>600000</v>
      </c>
      <c r="X112" s="95">
        <f t="shared" ref="X112:X138" si="39">IF(R112&gt;0,SUM(S112:W112)/Q112,0)</f>
        <v>0</v>
      </c>
    </row>
    <row r="113" spans="16:24" x14ac:dyDescent="0.25">
      <c r="P113" s="15">
        <f t="shared" si="37"/>
        <v>6</v>
      </c>
      <c r="Q113" s="69">
        <v>2000</v>
      </c>
      <c r="R113" s="69">
        <f t="shared" si="38"/>
        <v>0</v>
      </c>
      <c r="S113" s="69">
        <f t="shared" si="33"/>
        <v>329611.39199999999</v>
      </c>
      <c r="T113" s="69">
        <v>2500000</v>
      </c>
      <c r="U113" s="69">
        <f t="shared" si="34"/>
        <v>-300000</v>
      </c>
      <c r="V113" s="69">
        <f t="shared" si="35"/>
        <v>0</v>
      </c>
      <c r="W113" s="69">
        <v>600000</v>
      </c>
      <c r="X113" s="95">
        <f t="shared" si="39"/>
        <v>0</v>
      </c>
    </row>
    <row r="114" spans="16:24" x14ac:dyDescent="0.25">
      <c r="P114" s="15">
        <f t="shared" si="37"/>
        <v>7</v>
      </c>
      <c r="Q114" s="69">
        <v>3000</v>
      </c>
      <c r="R114" s="69">
        <f t="shared" si="38"/>
        <v>0</v>
      </c>
      <c r="S114" s="69">
        <f t="shared" si="33"/>
        <v>329611.39199999999</v>
      </c>
      <c r="T114" s="69">
        <v>2500000</v>
      </c>
      <c r="U114" s="69">
        <f t="shared" si="34"/>
        <v>0</v>
      </c>
      <c r="V114" s="69">
        <f t="shared" si="35"/>
        <v>0</v>
      </c>
      <c r="W114" s="69">
        <v>600000</v>
      </c>
      <c r="X114" s="95">
        <f t="shared" si="39"/>
        <v>0</v>
      </c>
    </row>
    <row r="115" spans="16:24" x14ac:dyDescent="0.25">
      <c r="P115" s="15">
        <f t="shared" si="37"/>
        <v>8</v>
      </c>
      <c r="Q115" s="69">
        <v>4000</v>
      </c>
      <c r="R115" s="69">
        <f t="shared" si="38"/>
        <v>0</v>
      </c>
      <c r="S115" s="69">
        <f t="shared" si="33"/>
        <v>329611.39199999999</v>
      </c>
      <c r="T115" s="69">
        <v>2500000</v>
      </c>
      <c r="U115" s="69">
        <f t="shared" si="34"/>
        <v>300000</v>
      </c>
      <c r="V115" s="69">
        <f t="shared" si="35"/>
        <v>0</v>
      </c>
      <c r="W115" s="69">
        <v>600000</v>
      </c>
      <c r="X115" s="95">
        <f t="shared" si="39"/>
        <v>0</v>
      </c>
    </row>
    <row r="116" spans="16:24" x14ac:dyDescent="0.25">
      <c r="P116" s="15">
        <f t="shared" si="37"/>
        <v>9</v>
      </c>
      <c r="Q116" s="69">
        <v>5000</v>
      </c>
      <c r="R116" s="69">
        <f t="shared" si="38"/>
        <v>0</v>
      </c>
      <c r="S116" s="69">
        <f t="shared" si="33"/>
        <v>329611.39199999999</v>
      </c>
      <c r="T116" s="69">
        <v>2500000</v>
      </c>
      <c r="U116" s="69">
        <f t="shared" si="34"/>
        <v>600000</v>
      </c>
      <c r="V116" s="69">
        <f t="shared" si="35"/>
        <v>0</v>
      </c>
      <c r="W116" s="69">
        <v>600000</v>
      </c>
      <c r="X116" s="95">
        <f t="shared" si="39"/>
        <v>0</v>
      </c>
    </row>
    <row r="117" spans="16:24" x14ac:dyDescent="0.25">
      <c r="P117" s="15">
        <f t="shared" si="37"/>
        <v>10</v>
      </c>
      <c r="Q117" s="69">
        <v>6000</v>
      </c>
      <c r="R117" s="69">
        <f t="shared" si="38"/>
        <v>0</v>
      </c>
      <c r="S117" s="69">
        <f t="shared" si="33"/>
        <v>329611.39199999999</v>
      </c>
      <c r="T117" s="69">
        <v>2500000</v>
      </c>
      <c r="U117" s="69">
        <f t="shared" si="34"/>
        <v>900000</v>
      </c>
      <c r="V117" s="69">
        <f t="shared" si="35"/>
        <v>0</v>
      </c>
      <c r="W117" s="69">
        <f>+$W$116*Q117/$Q$116</f>
        <v>720000</v>
      </c>
      <c r="X117" s="95">
        <f t="shared" si="39"/>
        <v>0</v>
      </c>
    </row>
    <row r="118" spans="16:24" x14ac:dyDescent="0.25">
      <c r="P118" s="15">
        <f t="shared" si="37"/>
        <v>11</v>
      </c>
      <c r="Q118" s="69">
        <v>7000</v>
      </c>
      <c r="R118" s="69">
        <f t="shared" si="38"/>
        <v>0</v>
      </c>
      <c r="S118" s="69">
        <f t="shared" si="33"/>
        <v>329611.39199999999</v>
      </c>
      <c r="T118" s="69">
        <v>2500000</v>
      </c>
      <c r="U118" s="69">
        <f t="shared" si="34"/>
        <v>1200000</v>
      </c>
      <c r="V118" s="69">
        <f t="shared" si="35"/>
        <v>0</v>
      </c>
      <c r="W118" s="69">
        <f t="shared" ref="W118:W138" si="40">+$W$116*Q118/$Q$116</f>
        <v>840000</v>
      </c>
      <c r="X118" s="95">
        <f t="shared" si="39"/>
        <v>0</v>
      </c>
    </row>
    <row r="119" spans="16:24" x14ac:dyDescent="0.25">
      <c r="P119" s="15">
        <f t="shared" si="37"/>
        <v>12</v>
      </c>
      <c r="Q119" s="69">
        <v>8000</v>
      </c>
      <c r="R119" s="69">
        <f t="shared" si="38"/>
        <v>0</v>
      </c>
      <c r="S119" s="69">
        <f t="shared" si="33"/>
        <v>329611.39199999999</v>
      </c>
      <c r="T119" s="69">
        <v>2500000</v>
      </c>
      <c r="U119" s="69">
        <f t="shared" si="34"/>
        <v>1500000</v>
      </c>
      <c r="V119" s="69">
        <f t="shared" si="35"/>
        <v>0</v>
      </c>
      <c r="W119" s="69">
        <f t="shared" si="40"/>
        <v>960000</v>
      </c>
      <c r="X119" s="95">
        <f t="shared" si="39"/>
        <v>0</v>
      </c>
    </row>
    <row r="120" spans="16:24" x14ac:dyDescent="0.25">
      <c r="P120" s="15">
        <f t="shared" si="37"/>
        <v>13</v>
      </c>
      <c r="Q120" s="69">
        <v>10000</v>
      </c>
      <c r="R120" s="69">
        <f t="shared" si="38"/>
        <v>0</v>
      </c>
      <c r="S120" s="69">
        <f t="shared" si="33"/>
        <v>329611.39199999999</v>
      </c>
      <c r="T120" s="69">
        <v>2500000</v>
      </c>
      <c r="U120" s="69">
        <f t="shared" si="34"/>
        <v>2100000</v>
      </c>
      <c r="V120" s="69">
        <f t="shared" si="35"/>
        <v>0</v>
      </c>
      <c r="W120" s="69">
        <f t="shared" si="40"/>
        <v>1200000</v>
      </c>
      <c r="X120" s="95">
        <f t="shared" si="39"/>
        <v>0</v>
      </c>
    </row>
    <row r="121" spans="16:24" x14ac:dyDescent="0.25">
      <c r="P121" s="15">
        <f t="shared" si="37"/>
        <v>14</v>
      </c>
      <c r="Q121" s="69">
        <v>15000</v>
      </c>
      <c r="R121" s="69">
        <f t="shared" si="38"/>
        <v>0</v>
      </c>
      <c r="S121" s="69">
        <f t="shared" si="33"/>
        <v>329611.39199999999</v>
      </c>
      <c r="T121" s="69">
        <v>2500000</v>
      </c>
      <c r="U121" s="69">
        <f t="shared" si="34"/>
        <v>3600000</v>
      </c>
      <c r="V121" s="69">
        <f t="shared" si="35"/>
        <v>0</v>
      </c>
      <c r="W121" s="69">
        <f t="shared" si="40"/>
        <v>1800000</v>
      </c>
      <c r="X121" s="95">
        <f t="shared" si="39"/>
        <v>0</v>
      </c>
    </row>
    <row r="122" spans="16:24" x14ac:dyDescent="0.25">
      <c r="P122" s="15">
        <f t="shared" si="37"/>
        <v>15</v>
      </c>
      <c r="Q122" s="69">
        <v>20000</v>
      </c>
      <c r="R122" s="69">
        <f t="shared" si="38"/>
        <v>0</v>
      </c>
      <c r="S122" s="69">
        <f t="shared" si="33"/>
        <v>329611.39199999999</v>
      </c>
      <c r="T122" s="69">
        <v>2500000</v>
      </c>
      <c r="U122" s="69">
        <f t="shared" si="34"/>
        <v>5100000</v>
      </c>
      <c r="V122" s="69">
        <f t="shared" si="35"/>
        <v>0</v>
      </c>
      <c r="W122" s="69">
        <f t="shared" si="40"/>
        <v>2400000</v>
      </c>
      <c r="X122" s="95">
        <f t="shared" si="39"/>
        <v>0</v>
      </c>
    </row>
    <row r="123" spans="16:24" x14ac:dyDescent="0.25">
      <c r="P123" s="15">
        <f t="shared" si="37"/>
        <v>16</v>
      </c>
      <c r="Q123" s="69">
        <v>25000</v>
      </c>
      <c r="R123" s="69">
        <f t="shared" si="38"/>
        <v>0</v>
      </c>
      <c r="S123" s="69">
        <f t="shared" si="33"/>
        <v>329611.39199999999</v>
      </c>
      <c r="T123" s="69">
        <v>2500000</v>
      </c>
      <c r="U123" s="69">
        <f t="shared" si="34"/>
        <v>6600000</v>
      </c>
      <c r="V123" s="69">
        <f t="shared" si="35"/>
        <v>0</v>
      </c>
      <c r="W123" s="69">
        <f t="shared" si="40"/>
        <v>3000000</v>
      </c>
      <c r="X123" s="95">
        <f t="shared" si="39"/>
        <v>0</v>
      </c>
    </row>
    <row r="124" spans="16:24" x14ac:dyDescent="0.25">
      <c r="P124" s="15">
        <f t="shared" si="37"/>
        <v>17</v>
      </c>
      <c r="Q124" s="69">
        <v>30000</v>
      </c>
      <c r="R124" s="69">
        <f t="shared" si="38"/>
        <v>0</v>
      </c>
      <c r="S124" s="69">
        <f t="shared" si="33"/>
        <v>329611.39199999999</v>
      </c>
      <c r="T124" s="69">
        <v>2500000</v>
      </c>
      <c r="U124" s="69">
        <f t="shared" si="34"/>
        <v>8100000</v>
      </c>
      <c r="V124" s="69">
        <f t="shared" si="35"/>
        <v>0</v>
      </c>
      <c r="W124" s="69">
        <f t="shared" si="40"/>
        <v>3600000</v>
      </c>
      <c r="X124" s="95">
        <f t="shared" si="39"/>
        <v>0</v>
      </c>
    </row>
    <row r="125" spans="16:24" x14ac:dyDescent="0.25">
      <c r="P125" s="15">
        <f t="shared" si="37"/>
        <v>18</v>
      </c>
      <c r="Q125" s="69">
        <v>35000</v>
      </c>
      <c r="R125" s="69">
        <f t="shared" si="38"/>
        <v>0</v>
      </c>
      <c r="S125" s="69">
        <f t="shared" si="33"/>
        <v>329611.39199999999</v>
      </c>
      <c r="T125" s="69">
        <v>2500000</v>
      </c>
      <c r="U125" s="69">
        <f t="shared" si="34"/>
        <v>9600000</v>
      </c>
      <c r="V125" s="69">
        <f t="shared" si="35"/>
        <v>0</v>
      </c>
      <c r="W125" s="69">
        <f t="shared" si="40"/>
        <v>4200000</v>
      </c>
      <c r="X125" s="95">
        <f t="shared" si="39"/>
        <v>0</v>
      </c>
    </row>
    <row r="126" spans="16:24" x14ac:dyDescent="0.25">
      <c r="P126" s="15">
        <f t="shared" si="37"/>
        <v>19</v>
      </c>
      <c r="Q126" s="69">
        <v>40000</v>
      </c>
      <c r="R126" s="69">
        <f t="shared" si="38"/>
        <v>0</v>
      </c>
      <c r="S126" s="69">
        <f t="shared" si="33"/>
        <v>329611.39199999999</v>
      </c>
      <c r="T126" s="69">
        <v>2500000</v>
      </c>
      <c r="U126" s="69">
        <f t="shared" si="34"/>
        <v>11100000</v>
      </c>
      <c r="V126" s="69">
        <f t="shared" si="35"/>
        <v>0</v>
      </c>
      <c r="W126" s="69">
        <f t="shared" si="40"/>
        <v>4800000</v>
      </c>
      <c r="X126" s="95">
        <f t="shared" si="39"/>
        <v>0</v>
      </c>
    </row>
    <row r="127" spans="16:24" x14ac:dyDescent="0.25">
      <c r="P127" s="15">
        <f t="shared" si="37"/>
        <v>20</v>
      </c>
      <c r="Q127" s="69">
        <v>45000</v>
      </c>
      <c r="R127" s="69">
        <f t="shared" si="38"/>
        <v>0</v>
      </c>
      <c r="S127" s="69">
        <f t="shared" si="33"/>
        <v>329611.39199999999</v>
      </c>
      <c r="T127" s="69">
        <v>2500000</v>
      </c>
      <c r="U127" s="69">
        <f t="shared" si="34"/>
        <v>12600000</v>
      </c>
      <c r="V127" s="69">
        <f t="shared" si="35"/>
        <v>0</v>
      </c>
      <c r="W127" s="69">
        <f t="shared" si="40"/>
        <v>5400000</v>
      </c>
      <c r="X127" s="95">
        <f t="shared" si="39"/>
        <v>0</v>
      </c>
    </row>
    <row r="128" spans="16:24" x14ac:dyDescent="0.25">
      <c r="P128" s="15">
        <f t="shared" si="37"/>
        <v>21</v>
      </c>
      <c r="Q128" s="69">
        <v>50000</v>
      </c>
      <c r="R128" s="69">
        <f t="shared" si="38"/>
        <v>0</v>
      </c>
      <c r="S128" s="69">
        <f t="shared" si="33"/>
        <v>329611.39199999999</v>
      </c>
      <c r="T128" s="69">
        <v>2500000</v>
      </c>
      <c r="U128" s="69">
        <f t="shared" si="34"/>
        <v>14100000</v>
      </c>
      <c r="V128" s="69">
        <f t="shared" si="35"/>
        <v>0</v>
      </c>
      <c r="W128" s="69">
        <f t="shared" si="40"/>
        <v>6000000</v>
      </c>
      <c r="X128" s="95">
        <f t="shared" si="39"/>
        <v>0</v>
      </c>
    </row>
    <row r="129" spans="16:25" x14ac:dyDescent="0.25">
      <c r="P129" s="15">
        <f t="shared" si="37"/>
        <v>22</v>
      </c>
      <c r="Q129" s="69">
        <v>55000</v>
      </c>
      <c r="R129" s="69">
        <f t="shared" si="38"/>
        <v>0</v>
      </c>
      <c r="S129" s="69">
        <f t="shared" si="33"/>
        <v>329611.39199999999</v>
      </c>
      <c r="T129" s="69">
        <v>2500000</v>
      </c>
      <c r="U129" s="69">
        <f t="shared" si="34"/>
        <v>15600000</v>
      </c>
      <c r="V129" s="69">
        <f t="shared" si="35"/>
        <v>0</v>
      </c>
      <c r="W129" s="69">
        <f t="shared" si="40"/>
        <v>6600000</v>
      </c>
      <c r="X129" s="95">
        <f t="shared" si="39"/>
        <v>0</v>
      </c>
    </row>
    <row r="130" spans="16:25" x14ac:dyDescent="0.25">
      <c r="P130" s="15">
        <f t="shared" si="37"/>
        <v>23</v>
      </c>
      <c r="Q130" s="69">
        <v>60000</v>
      </c>
      <c r="R130" s="69">
        <f t="shared" si="38"/>
        <v>0</v>
      </c>
      <c r="S130" s="69">
        <f t="shared" si="33"/>
        <v>329611.39199999999</v>
      </c>
      <c r="T130" s="69">
        <v>2500000</v>
      </c>
      <c r="U130" s="69">
        <f t="shared" si="34"/>
        <v>17100000</v>
      </c>
      <c r="V130" s="69">
        <f t="shared" si="35"/>
        <v>0</v>
      </c>
      <c r="W130" s="69">
        <f t="shared" si="40"/>
        <v>7200000</v>
      </c>
      <c r="X130" s="95">
        <f t="shared" si="39"/>
        <v>0</v>
      </c>
    </row>
    <row r="131" spans="16:25" x14ac:dyDescent="0.25">
      <c r="P131" s="15">
        <f t="shared" si="37"/>
        <v>24</v>
      </c>
      <c r="Q131" s="69">
        <v>65000</v>
      </c>
      <c r="R131" s="69">
        <f t="shared" si="38"/>
        <v>0</v>
      </c>
      <c r="S131" s="69">
        <f t="shared" si="33"/>
        <v>329611.39199999999</v>
      </c>
      <c r="T131" s="69">
        <v>2500000</v>
      </c>
      <c r="U131" s="69">
        <f t="shared" si="34"/>
        <v>18600000</v>
      </c>
      <c r="V131" s="69">
        <f t="shared" si="35"/>
        <v>0</v>
      </c>
      <c r="W131" s="69">
        <f t="shared" si="40"/>
        <v>7800000</v>
      </c>
      <c r="X131" s="95">
        <f t="shared" si="39"/>
        <v>0</v>
      </c>
    </row>
    <row r="132" spans="16:25" x14ac:dyDescent="0.25">
      <c r="P132" s="15">
        <f t="shared" si="37"/>
        <v>25</v>
      </c>
      <c r="Q132" s="69">
        <v>70000</v>
      </c>
      <c r="R132" s="69">
        <f t="shared" si="38"/>
        <v>0</v>
      </c>
      <c r="S132" s="69">
        <f t="shared" si="33"/>
        <v>329611.39199999999</v>
      </c>
      <c r="T132" s="69">
        <v>2500000</v>
      </c>
      <c r="U132" s="69">
        <f t="shared" si="34"/>
        <v>20100000</v>
      </c>
      <c r="V132" s="69">
        <f t="shared" si="35"/>
        <v>0</v>
      </c>
      <c r="W132" s="69">
        <f t="shared" si="40"/>
        <v>8400000</v>
      </c>
      <c r="X132" s="95">
        <f t="shared" si="39"/>
        <v>0</v>
      </c>
    </row>
    <row r="133" spans="16:25" x14ac:dyDescent="0.25">
      <c r="P133" s="15">
        <f t="shared" si="37"/>
        <v>26</v>
      </c>
      <c r="Q133" s="69">
        <v>75000</v>
      </c>
      <c r="R133" s="69">
        <f t="shared" si="38"/>
        <v>0</v>
      </c>
      <c r="S133" s="69">
        <f t="shared" si="33"/>
        <v>329611.39199999999</v>
      </c>
      <c r="T133" s="69">
        <v>2500000</v>
      </c>
      <c r="U133" s="69">
        <f t="shared" si="34"/>
        <v>21600000</v>
      </c>
      <c r="V133" s="69">
        <f t="shared" si="35"/>
        <v>0</v>
      </c>
      <c r="W133" s="69">
        <f t="shared" si="40"/>
        <v>9000000</v>
      </c>
      <c r="X133" s="95">
        <f t="shared" si="39"/>
        <v>0</v>
      </c>
    </row>
    <row r="134" spans="16:25" x14ac:dyDescent="0.25">
      <c r="P134" s="15">
        <f t="shared" si="37"/>
        <v>27</v>
      </c>
      <c r="Q134" s="69">
        <v>80000</v>
      </c>
      <c r="R134" s="69">
        <f t="shared" si="38"/>
        <v>0</v>
      </c>
      <c r="S134" s="69">
        <f t="shared" si="33"/>
        <v>329611.39199999999</v>
      </c>
      <c r="T134" s="69">
        <v>2500000</v>
      </c>
      <c r="U134" s="69">
        <f t="shared" si="34"/>
        <v>23100000</v>
      </c>
      <c r="V134" s="69">
        <f t="shared" si="35"/>
        <v>0</v>
      </c>
      <c r="W134" s="69">
        <f t="shared" si="40"/>
        <v>9600000</v>
      </c>
      <c r="X134" s="95">
        <f t="shared" si="39"/>
        <v>0</v>
      </c>
    </row>
    <row r="135" spans="16:25" x14ac:dyDescent="0.25">
      <c r="P135" s="15">
        <f t="shared" si="37"/>
        <v>28</v>
      </c>
      <c r="Q135" s="69">
        <v>85000</v>
      </c>
      <c r="R135" s="69">
        <f t="shared" si="38"/>
        <v>0</v>
      </c>
      <c r="S135" s="69">
        <f t="shared" si="33"/>
        <v>329611.39199999999</v>
      </c>
      <c r="T135" s="69">
        <v>2500000</v>
      </c>
      <c r="U135" s="69">
        <f t="shared" si="34"/>
        <v>24600000</v>
      </c>
      <c r="V135" s="69">
        <f t="shared" si="35"/>
        <v>0</v>
      </c>
      <c r="W135" s="69">
        <f t="shared" si="40"/>
        <v>10200000</v>
      </c>
      <c r="X135" s="95">
        <f t="shared" si="39"/>
        <v>0</v>
      </c>
    </row>
    <row r="136" spans="16:25" x14ac:dyDescent="0.25">
      <c r="P136" s="15">
        <f t="shared" si="37"/>
        <v>29</v>
      </c>
      <c r="Q136" s="69">
        <v>90000</v>
      </c>
      <c r="R136" s="69">
        <f t="shared" si="38"/>
        <v>0</v>
      </c>
      <c r="S136" s="69">
        <f t="shared" si="33"/>
        <v>329611.39199999999</v>
      </c>
      <c r="T136" s="69">
        <v>2500000</v>
      </c>
      <c r="U136" s="69">
        <f t="shared" si="34"/>
        <v>26100000</v>
      </c>
      <c r="V136" s="69">
        <f t="shared" si="35"/>
        <v>0</v>
      </c>
      <c r="W136" s="69">
        <f t="shared" si="40"/>
        <v>10800000</v>
      </c>
      <c r="X136" s="95">
        <f t="shared" si="39"/>
        <v>0</v>
      </c>
    </row>
    <row r="137" spans="16:25" x14ac:dyDescent="0.25">
      <c r="P137" s="15">
        <f t="shared" si="37"/>
        <v>30</v>
      </c>
      <c r="Q137" s="69">
        <v>95000</v>
      </c>
      <c r="R137" s="69">
        <f t="shared" si="38"/>
        <v>0</v>
      </c>
      <c r="S137" s="69">
        <f t="shared" si="33"/>
        <v>329611.39199999999</v>
      </c>
      <c r="T137" s="69">
        <v>2500000</v>
      </c>
      <c r="U137" s="69">
        <f t="shared" si="34"/>
        <v>27600000</v>
      </c>
      <c r="V137" s="69">
        <f t="shared" si="35"/>
        <v>0</v>
      </c>
      <c r="W137" s="69">
        <f t="shared" si="40"/>
        <v>11400000</v>
      </c>
      <c r="X137" s="95">
        <f t="shared" si="39"/>
        <v>0</v>
      </c>
    </row>
    <row r="138" spans="16:25" ht="15.75" thickBot="1" x14ac:dyDescent="0.3">
      <c r="P138" s="16">
        <f t="shared" si="37"/>
        <v>31</v>
      </c>
      <c r="Q138" s="72">
        <v>100000</v>
      </c>
      <c r="R138" s="72">
        <f t="shared" si="38"/>
        <v>0</v>
      </c>
      <c r="S138" s="72">
        <f t="shared" si="33"/>
        <v>329611.39199999999</v>
      </c>
      <c r="T138" s="72">
        <v>2500000</v>
      </c>
      <c r="U138" s="72">
        <f t="shared" si="34"/>
        <v>29100000</v>
      </c>
      <c r="V138" s="72">
        <f t="shared" si="35"/>
        <v>0</v>
      </c>
      <c r="W138" s="72">
        <f t="shared" si="40"/>
        <v>12000000</v>
      </c>
      <c r="X138" s="96">
        <f t="shared" si="39"/>
        <v>0</v>
      </c>
    </row>
    <row r="139" spans="16:25" ht="15.75" thickTop="1" x14ac:dyDescent="0.25"/>
    <row r="141" spans="16:25" ht="15.75" thickBot="1" x14ac:dyDescent="0.3">
      <c r="P141" s="160" t="s">
        <v>205</v>
      </c>
      <c r="Q141" s="160"/>
      <c r="R141" s="160"/>
      <c r="S141" s="160"/>
      <c r="T141" s="160"/>
      <c r="U141" s="160"/>
      <c r="V141" s="160"/>
      <c r="W141" s="160"/>
    </row>
    <row r="142" spans="16:25" ht="31.5" thickTop="1" thickBot="1" x14ac:dyDescent="0.3">
      <c r="P142" s="91" t="s">
        <v>31</v>
      </c>
      <c r="Q142" s="92" t="s">
        <v>32</v>
      </c>
      <c r="R142" s="92" t="s">
        <v>30</v>
      </c>
      <c r="S142" s="92" t="s">
        <v>85</v>
      </c>
      <c r="T142" s="92" t="s">
        <v>34</v>
      </c>
      <c r="U142" s="93" t="s">
        <v>35</v>
      </c>
      <c r="V142" s="92" t="s">
        <v>84</v>
      </c>
      <c r="W142" s="92" t="s">
        <v>206</v>
      </c>
      <c r="X142" s="92" t="s">
        <v>36</v>
      </c>
      <c r="Y142" s="97" t="s">
        <v>189</v>
      </c>
    </row>
    <row r="143" spans="16:25" ht="15.75" thickTop="1" x14ac:dyDescent="0.25">
      <c r="P143" s="39">
        <v>1</v>
      </c>
      <c r="Q143" s="90">
        <v>100</v>
      </c>
      <c r="R143" s="90">
        <f>+$F$9</f>
        <v>0</v>
      </c>
      <c r="S143" s="90">
        <f>+$L$11*300</f>
        <v>329611.39199999999</v>
      </c>
      <c r="T143" s="90">
        <v>3500000</v>
      </c>
      <c r="U143" s="90">
        <f>(Q143-3000)*350</f>
        <v>-1015000</v>
      </c>
      <c r="V143" s="90">
        <f>200000*R143</f>
        <v>0</v>
      </c>
      <c r="W143" s="90">
        <f>35*$F$11/10*$H$11/10*$F$9</f>
        <v>0</v>
      </c>
      <c r="X143" s="90">
        <f>200000*R143</f>
        <v>0</v>
      </c>
      <c r="Y143" s="94">
        <f t="shared" ref="Y143:Y173" si="41">IF(R143&gt;0,SUM(S143:X143)/Q143,0)</f>
        <v>0</v>
      </c>
    </row>
    <row r="144" spans="16:25" x14ac:dyDescent="0.25">
      <c r="P144" s="15">
        <f>+P143+1</f>
        <v>2</v>
      </c>
      <c r="Q144" s="69">
        <v>200</v>
      </c>
      <c r="R144" s="69">
        <f>+$F$9</f>
        <v>0</v>
      </c>
      <c r="S144" s="69">
        <f t="shared" ref="S144:S173" si="42">+$L$11*300</f>
        <v>329611.39199999999</v>
      </c>
      <c r="T144" s="69">
        <v>3500000</v>
      </c>
      <c r="U144" s="69">
        <f t="shared" ref="U144:U173" si="43">(Q144-3000)*350</f>
        <v>-980000</v>
      </c>
      <c r="V144" s="69">
        <f t="shared" ref="V144:V173" si="44">200000*R144</f>
        <v>0</v>
      </c>
      <c r="W144" s="69">
        <v>1142400</v>
      </c>
      <c r="X144" s="69">
        <v>800000</v>
      </c>
      <c r="Y144" s="95">
        <f t="shared" si="41"/>
        <v>0</v>
      </c>
    </row>
    <row r="145" spans="16:25" x14ac:dyDescent="0.25">
      <c r="P145" s="15">
        <f t="shared" ref="P145:P173" si="45">+P144+1</f>
        <v>3</v>
      </c>
      <c r="Q145" s="69">
        <v>300</v>
      </c>
      <c r="R145" s="69">
        <f t="shared" ref="R145:R173" si="46">+$F$9</f>
        <v>0</v>
      </c>
      <c r="S145" s="69">
        <f t="shared" si="42"/>
        <v>329611.39199999999</v>
      </c>
      <c r="T145" s="69">
        <v>3500000</v>
      </c>
      <c r="U145" s="69">
        <f t="shared" si="43"/>
        <v>-945000</v>
      </c>
      <c r="V145" s="69">
        <f t="shared" si="44"/>
        <v>0</v>
      </c>
      <c r="W145" s="69">
        <v>1142400</v>
      </c>
      <c r="X145" s="69">
        <v>800000</v>
      </c>
      <c r="Y145" s="95">
        <f t="shared" si="41"/>
        <v>0</v>
      </c>
    </row>
    <row r="146" spans="16:25" x14ac:dyDescent="0.25">
      <c r="P146" s="15">
        <f t="shared" si="45"/>
        <v>4</v>
      </c>
      <c r="Q146" s="69">
        <v>500</v>
      </c>
      <c r="R146" s="69">
        <f t="shared" si="46"/>
        <v>0</v>
      </c>
      <c r="S146" s="69">
        <f t="shared" si="42"/>
        <v>329611.39199999999</v>
      </c>
      <c r="T146" s="69">
        <v>3500000</v>
      </c>
      <c r="U146" s="69">
        <f t="shared" si="43"/>
        <v>-875000</v>
      </c>
      <c r="V146" s="69">
        <f t="shared" si="44"/>
        <v>0</v>
      </c>
      <c r="W146" s="69">
        <v>1142400</v>
      </c>
      <c r="X146" s="69">
        <v>800000</v>
      </c>
      <c r="Y146" s="95">
        <f t="shared" si="41"/>
        <v>0</v>
      </c>
    </row>
    <row r="147" spans="16:25" x14ac:dyDescent="0.25">
      <c r="P147" s="15">
        <f t="shared" si="45"/>
        <v>5</v>
      </c>
      <c r="Q147" s="69">
        <v>1000</v>
      </c>
      <c r="R147" s="69">
        <f t="shared" si="46"/>
        <v>0</v>
      </c>
      <c r="S147" s="69">
        <f t="shared" si="42"/>
        <v>329611.39199999999</v>
      </c>
      <c r="T147" s="69">
        <v>3500000</v>
      </c>
      <c r="U147" s="69">
        <f t="shared" si="43"/>
        <v>-700000</v>
      </c>
      <c r="V147" s="69">
        <f t="shared" si="44"/>
        <v>0</v>
      </c>
      <c r="W147" s="69">
        <v>1142400</v>
      </c>
      <c r="X147" s="69">
        <v>800000</v>
      </c>
      <c r="Y147" s="95">
        <f t="shared" si="41"/>
        <v>0</v>
      </c>
    </row>
    <row r="148" spans="16:25" x14ac:dyDescent="0.25">
      <c r="P148" s="15">
        <f t="shared" si="45"/>
        <v>6</v>
      </c>
      <c r="Q148" s="69">
        <v>2000</v>
      </c>
      <c r="R148" s="69">
        <f t="shared" si="46"/>
        <v>0</v>
      </c>
      <c r="S148" s="69">
        <f t="shared" si="42"/>
        <v>329611.39199999999</v>
      </c>
      <c r="T148" s="69">
        <v>3500000</v>
      </c>
      <c r="U148" s="69">
        <f t="shared" si="43"/>
        <v>-350000</v>
      </c>
      <c r="V148" s="69">
        <f t="shared" si="44"/>
        <v>0</v>
      </c>
      <c r="W148" s="69">
        <v>1142400</v>
      </c>
      <c r="X148" s="69">
        <v>800000</v>
      </c>
      <c r="Y148" s="95">
        <f t="shared" si="41"/>
        <v>0</v>
      </c>
    </row>
    <row r="149" spans="16:25" x14ac:dyDescent="0.25">
      <c r="P149" s="15">
        <f t="shared" si="45"/>
        <v>7</v>
      </c>
      <c r="Q149" s="69">
        <v>3000</v>
      </c>
      <c r="R149" s="69">
        <f t="shared" si="46"/>
        <v>0</v>
      </c>
      <c r="S149" s="69">
        <f t="shared" si="42"/>
        <v>329611.39199999999</v>
      </c>
      <c r="T149" s="69">
        <v>3500000</v>
      </c>
      <c r="U149" s="69">
        <f t="shared" si="43"/>
        <v>0</v>
      </c>
      <c r="V149" s="69">
        <f t="shared" si="44"/>
        <v>0</v>
      </c>
      <c r="W149" s="69">
        <v>1142400</v>
      </c>
      <c r="X149" s="69">
        <v>800000</v>
      </c>
      <c r="Y149" s="95">
        <f t="shared" si="41"/>
        <v>0</v>
      </c>
    </row>
    <row r="150" spans="16:25" x14ac:dyDescent="0.25">
      <c r="P150" s="15">
        <f t="shared" si="45"/>
        <v>8</v>
      </c>
      <c r="Q150" s="69">
        <v>4000</v>
      </c>
      <c r="R150" s="69">
        <f t="shared" si="46"/>
        <v>0</v>
      </c>
      <c r="S150" s="69">
        <f t="shared" si="42"/>
        <v>329611.39199999999</v>
      </c>
      <c r="T150" s="69">
        <v>3500000</v>
      </c>
      <c r="U150" s="69">
        <f t="shared" si="43"/>
        <v>350000</v>
      </c>
      <c r="V150" s="69">
        <f t="shared" si="44"/>
        <v>0</v>
      </c>
      <c r="W150" s="69">
        <v>1142400</v>
      </c>
      <c r="X150" s="69">
        <v>800000</v>
      </c>
      <c r="Y150" s="95">
        <f t="shared" si="41"/>
        <v>0</v>
      </c>
    </row>
    <row r="151" spans="16:25" x14ac:dyDescent="0.25">
      <c r="P151" s="15">
        <f t="shared" si="45"/>
        <v>9</v>
      </c>
      <c r="Q151" s="69">
        <v>5000</v>
      </c>
      <c r="R151" s="69">
        <f t="shared" si="46"/>
        <v>0</v>
      </c>
      <c r="S151" s="69">
        <f t="shared" si="42"/>
        <v>329611.39199999999</v>
      </c>
      <c r="T151" s="69">
        <v>3500000</v>
      </c>
      <c r="U151" s="69">
        <f t="shared" si="43"/>
        <v>700000</v>
      </c>
      <c r="V151" s="69">
        <f t="shared" si="44"/>
        <v>0</v>
      </c>
      <c r="W151" s="69">
        <v>1142400</v>
      </c>
      <c r="X151" s="69">
        <v>800000</v>
      </c>
      <c r="Y151" s="95">
        <f t="shared" si="41"/>
        <v>0</v>
      </c>
    </row>
    <row r="152" spans="16:25" x14ac:dyDescent="0.25">
      <c r="P152" s="15">
        <f t="shared" si="45"/>
        <v>10</v>
      </c>
      <c r="Q152" s="69">
        <v>6000</v>
      </c>
      <c r="R152" s="69">
        <f t="shared" si="46"/>
        <v>0</v>
      </c>
      <c r="S152" s="69">
        <f t="shared" si="42"/>
        <v>329611.39199999999</v>
      </c>
      <c r="T152" s="69">
        <v>3500000</v>
      </c>
      <c r="U152" s="69">
        <f t="shared" si="43"/>
        <v>1050000</v>
      </c>
      <c r="V152" s="69">
        <f t="shared" si="44"/>
        <v>0</v>
      </c>
      <c r="W152" s="69">
        <v>1142400</v>
      </c>
      <c r="X152" s="69">
        <f>+$X$151*Q152/$Q$151</f>
        <v>960000</v>
      </c>
      <c r="Y152" s="95">
        <f t="shared" si="41"/>
        <v>0</v>
      </c>
    </row>
    <row r="153" spans="16:25" x14ac:dyDescent="0.25">
      <c r="P153" s="15">
        <f t="shared" si="45"/>
        <v>11</v>
      </c>
      <c r="Q153" s="69">
        <v>7000</v>
      </c>
      <c r="R153" s="69">
        <f t="shared" si="46"/>
        <v>0</v>
      </c>
      <c r="S153" s="69">
        <f t="shared" si="42"/>
        <v>329611.39199999999</v>
      </c>
      <c r="T153" s="69">
        <v>3500000</v>
      </c>
      <c r="U153" s="69">
        <f t="shared" si="43"/>
        <v>1400000</v>
      </c>
      <c r="V153" s="69">
        <f t="shared" si="44"/>
        <v>0</v>
      </c>
      <c r="W153" s="69">
        <v>1142400</v>
      </c>
      <c r="X153" s="69">
        <f t="shared" ref="X153:X173" si="47">+$X$151*Q153/$Q$151</f>
        <v>1120000</v>
      </c>
      <c r="Y153" s="95">
        <f t="shared" si="41"/>
        <v>0</v>
      </c>
    </row>
    <row r="154" spans="16:25" x14ac:dyDescent="0.25">
      <c r="P154" s="15">
        <f t="shared" si="45"/>
        <v>12</v>
      </c>
      <c r="Q154" s="69">
        <v>8000</v>
      </c>
      <c r="R154" s="69">
        <f t="shared" si="46"/>
        <v>0</v>
      </c>
      <c r="S154" s="69">
        <f t="shared" si="42"/>
        <v>329611.39199999999</v>
      </c>
      <c r="T154" s="69">
        <v>3500000</v>
      </c>
      <c r="U154" s="69">
        <f t="shared" si="43"/>
        <v>1750000</v>
      </c>
      <c r="V154" s="69">
        <f t="shared" si="44"/>
        <v>0</v>
      </c>
      <c r="W154" s="69">
        <v>1142400</v>
      </c>
      <c r="X154" s="69">
        <f t="shared" si="47"/>
        <v>1280000</v>
      </c>
      <c r="Y154" s="95">
        <f t="shared" si="41"/>
        <v>0</v>
      </c>
    </row>
    <row r="155" spans="16:25" x14ac:dyDescent="0.25">
      <c r="P155" s="15">
        <f t="shared" si="45"/>
        <v>13</v>
      </c>
      <c r="Q155" s="69">
        <v>10000</v>
      </c>
      <c r="R155" s="69">
        <f t="shared" si="46"/>
        <v>0</v>
      </c>
      <c r="S155" s="69">
        <f t="shared" si="42"/>
        <v>329611.39199999999</v>
      </c>
      <c r="T155" s="69">
        <v>3500000</v>
      </c>
      <c r="U155" s="69">
        <f t="shared" si="43"/>
        <v>2450000</v>
      </c>
      <c r="V155" s="69">
        <f t="shared" si="44"/>
        <v>0</v>
      </c>
      <c r="W155" s="69">
        <v>1142400</v>
      </c>
      <c r="X155" s="69">
        <f t="shared" si="47"/>
        <v>1600000</v>
      </c>
      <c r="Y155" s="95">
        <f t="shared" si="41"/>
        <v>0</v>
      </c>
    </row>
    <row r="156" spans="16:25" x14ac:dyDescent="0.25">
      <c r="P156" s="15">
        <f t="shared" si="45"/>
        <v>14</v>
      </c>
      <c r="Q156" s="69">
        <v>15000</v>
      </c>
      <c r="R156" s="69">
        <f t="shared" si="46"/>
        <v>0</v>
      </c>
      <c r="S156" s="69">
        <f t="shared" si="42"/>
        <v>329611.39199999999</v>
      </c>
      <c r="T156" s="69">
        <v>3500000</v>
      </c>
      <c r="U156" s="69">
        <f t="shared" si="43"/>
        <v>4200000</v>
      </c>
      <c r="V156" s="69">
        <f t="shared" si="44"/>
        <v>0</v>
      </c>
      <c r="W156" s="69">
        <v>1142400</v>
      </c>
      <c r="X156" s="69">
        <f t="shared" si="47"/>
        <v>2400000</v>
      </c>
      <c r="Y156" s="95">
        <f t="shared" si="41"/>
        <v>0</v>
      </c>
    </row>
    <row r="157" spans="16:25" x14ac:dyDescent="0.25">
      <c r="P157" s="15">
        <f t="shared" si="45"/>
        <v>15</v>
      </c>
      <c r="Q157" s="69">
        <v>20000</v>
      </c>
      <c r="R157" s="69">
        <f t="shared" si="46"/>
        <v>0</v>
      </c>
      <c r="S157" s="69">
        <f t="shared" si="42"/>
        <v>329611.39199999999</v>
      </c>
      <c r="T157" s="69">
        <v>3500000</v>
      </c>
      <c r="U157" s="69">
        <f t="shared" si="43"/>
        <v>5950000</v>
      </c>
      <c r="V157" s="69">
        <f t="shared" si="44"/>
        <v>0</v>
      </c>
      <c r="W157" s="69">
        <v>1142400</v>
      </c>
      <c r="X157" s="69">
        <f t="shared" si="47"/>
        <v>3200000</v>
      </c>
      <c r="Y157" s="95">
        <f t="shared" si="41"/>
        <v>0</v>
      </c>
    </row>
    <row r="158" spans="16:25" x14ac:dyDescent="0.25">
      <c r="P158" s="15">
        <f t="shared" si="45"/>
        <v>16</v>
      </c>
      <c r="Q158" s="69">
        <v>25000</v>
      </c>
      <c r="R158" s="69">
        <f t="shared" si="46"/>
        <v>0</v>
      </c>
      <c r="S158" s="69">
        <f t="shared" si="42"/>
        <v>329611.39199999999</v>
      </c>
      <c r="T158" s="69">
        <v>3500000</v>
      </c>
      <c r="U158" s="69">
        <f t="shared" si="43"/>
        <v>7700000</v>
      </c>
      <c r="V158" s="69">
        <f t="shared" si="44"/>
        <v>0</v>
      </c>
      <c r="W158" s="69">
        <v>1142400</v>
      </c>
      <c r="X158" s="69">
        <f t="shared" si="47"/>
        <v>4000000</v>
      </c>
      <c r="Y158" s="95">
        <f t="shared" si="41"/>
        <v>0</v>
      </c>
    </row>
    <row r="159" spans="16:25" x14ac:dyDescent="0.25">
      <c r="P159" s="15">
        <f t="shared" si="45"/>
        <v>17</v>
      </c>
      <c r="Q159" s="69">
        <v>30000</v>
      </c>
      <c r="R159" s="69">
        <f t="shared" si="46"/>
        <v>0</v>
      </c>
      <c r="S159" s="69">
        <f t="shared" si="42"/>
        <v>329611.39199999999</v>
      </c>
      <c r="T159" s="69">
        <v>3500000</v>
      </c>
      <c r="U159" s="69">
        <f t="shared" si="43"/>
        <v>9450000</v>
      </c>
      <c r="V159" s="69">
        <f t="shared" si="44"/>
        <v>0</v>
      </c>
      <c r="W159" s="69">
        <v>1142400</v>
      </c>
      <c r="X159" s="69">
        <f t="shared" si="47"/>
        <v>4800000</v>
      </c>
      <c r="Y159" s="95">
        <f t="shared" si="41"/>
        <v>0</v>
      </c>
    </row>
    <row r="160" spans="16:25" x14ac:dyDescent="0.25">
      <c r="P160" s="15">
        <f t="shared" si="45"/>
        <v>18</v>
      </c>
      <c r="Q160" s="69">
        <v>35000</v>
      </c>
      <c r="R160" s="69">
        <f t="shared" si="46"/>
        <v>0</v>
      </c>
      <c r="S160" s="69">
        <f t="shared" si="42"/>
        <v>329611.39199999999</v>
      </c>
      <c r="T160" s="69">
        <v>3500000</v>
      </c>
      <c r="U160" s="69">
        <f t="shared" si="43"/>
        <v>11200000</v>
      </c>
      <c r="V160" s="69">
        <f t="shared" si="44"/>
        <v>0</v>
      </c>
      <c r="W160" s="69">
        <v>1142400</v>
      </c>
      <c r="X160" s="69">
        <f t="shared" si="47"/>
        <v>5600000</v>
      </c>
      <c r="Y160" s="95">
        <f t="shared" si="41"/>
        <v>0</v>
      </c>
    </row>
    <row r="161" spans="16:25" x14ac:dyDescent="0.25">
      <c r="P161" s="15">
        <f t="shared" si="45"/>
        <v>19</v>
      </c>
      <c r="Q161" s="69">
        <v>40000</v>
      </c>
      <c r="R161" s="69">
        <f t="shared" si="46"/>
        <v>0</v>
      </c>
      <c r="S161" s="69">
        <f t="shared" si="42"/>
        <v>329611.39199999999</v>
      </c>
      <c r="T161" s="69">
        <v>3500000</v>
      </c>
      <c r="U161" s="69">
        <f t="shared" si="43"/>
        <v>12950000</v>
      </c>
      <c r="V161" s="69">
        <f t="shared" si="44"/>
        <v>0</v>
      </c>
      <c r="W161" s="69">
        <v>1142400</v>
      </c>
      <c r="X161" s="69">
        <f t="shared" si="47"/>
        <v>6400000</v>
      </c>
      <c r="Y161" s="95">
        <f t="shared" si="41"/>
        <v>0</v>
      </c>
    </row>
    <row r="162" spans="16:25" x14ac:dyDescent="0.25">
      <c r="P162" s="15">
        <f t="shared" si="45"/>
        <v>20</v>
      </c>
      <c r="Q162" s="69">
        <v>45000</v>
      </c>
      <c r="R162" s="69">
        <f t="shared" si="46"/>
        <v>0</v>
      </c>
      <c r="S162" s="69">
        <f t="shared" si="42"/>
        <v>329611.39199999999</v>
      </c>
      <c r="T162" s="69">
        <v>3500000</v>
      </c>
      <c r="U162" s="69">
        <f t="shared" si="43"/>
        <v>14700000</v>
      </c>
      <c r="V162" s="69">
        <f t="shared" si="44"/>
        <v>0</v>
      </c>
      <c r="W162" s="69">
        <v>1142400</v>
      </c>
      <c r="X162" s="69">
        <f t="shared" si="47"/>
        <v>7200000</v>
      </c>
      <c r="Y162" s="95">
        <f t="shared" si="41"/>
        <v>0</v>
      </c>
    </row>
    <row r="163" spans="16:25" x14ac:dyDescent="0.25">
      <c r="P163" s="15">
        <f t="shared" si="45"/>
        <v>21</v>
      </c>
      <c r="Q163" s="69">
        <v>50000</v>
      </c>
      <c r="R163" s="69">
        <f t="shared" si="46"/>
        <v>0</v>
      </c>
      <c r="S163" s="69">
        <f t="shared" si="42"/>
        <v>329611.39199999999</v>
      </c>
      <c r="T163" s="69">
        <v>3500000</v>
      </c>
      <c r="U163" s="69">
        <f t="shared" si="43"/>
        <v>16450000</v>
      </c>
      <c r="V163" s="69">
        <f t="shared" si="44"/>
        <v>0</v>
      </c>
      <c r="W163" s="69">
        <v>1142400</v>
      </c>
      <c r="X163" s="69">
        <f t="shared" si="47"/>
        <v>8000000</v>
      </c>
      <c r="Y163" s="95">
        <f t="shared" si="41"/>
        <v>0</v>
      </c>
    </row>
    <row r="164" spans="16:25" x14ac:dyDescent="0.25">
      <c r="P164" s="15">
        <f t="shared" si="45"/>
        <v>22</v>
      </c>
      <c r="Q164" s="69">
        <v>55000</v>
      </c>
      <c r="R164" s="69">
        <f t="shared" si="46"/>
        <v>0</v>
      </c>
      <c r="S164" s="69">
        <f t="shared" si="42"/>
        <v>329611.39199999999</v>
      </c>
      <c r="T164" s="69">
        <v>3500000</v>
      </c>
      <c r="U164" s="69">
        <f t="shared" si="43"/>
        <v>18200000</v>
      </c>
      <c r="V164" s="69">
        <f t="shared" si="44"/>
        <v>0</v>
      </c>
      <c r="W164" s="69">
        <v>1142400</v>
      </c>
      <c r="X164" s="69">
        <f t="shared" si="47"/>
        <v>8800000</v>
      </c>
      <c r="Y164" s="95">
        <f t="shared" si="41"/>
        <v>0</v>
      </c>
    </row>
    <row r="165" spans="16:25" x14ac:dyDescent="0.25">
      <c r="P165" s="15">
        <f t="shared" si="45"/>
        <v>23</v>
      </c>
      <c r="Q165" s="69">
        <v>60000</v>
      </c>
      <c r="R165" s="69">
        <f t="shared" si="46"/>
        <v>0</v>
      </c>
      <c r="S165" s="69">
        <f t="shared" si="42"/>
        <v>329611.39199999999</v>
      </c>
      <c r="T165" s="69">
        <v>3500000</v>
      </c>
      <c r="U165" s="69">
        <f t="shared" si="43"/>
        <v>19950000</v>
      </c>
      <c r="V165" s="69">
        <f t="shared" si="44"/>
        <v>0</v>
      </c>
      <c r="W165" s="69">
        <v>1142400</v>
      </c>
      <c r="X165" s="69">
        <f t="shared" si="47"/>
        <v>9600000</v>
      </c>
      <c r="Y165" s="95">
        <f t="shared" si="41"/>
        <v>0</v>
      </c>
    </row>
    <row r="166" spans="16:25" x14ac:dyDescent="0.25">
      <c r="P166" s="15">
        <f t="shared" si="45"/>
        <v>24</v>
      </c>
      <c r="Q166" s="69">
        <v>65000</v>
      </c>
      <c r="R166" s="69">
        <f t="shared" si="46"/>
        <v>0</v>
      </c>
      <c r="S166" s="69">
        <f t="shared" si="42"/>
        <v>329611.39199999999</v>
      </c>
      <c r="T166" s="69">
        <v>3500000</v>
      </c>
      <c r="U166" s="69">
        <f t="shared" si="43"/>
        <v>21700000</v>
      </c>
      <c r="V166" s="69">
        <f t="shared" si="44"/>
        <v>0</v>
      </c>
      <c r="W166" s="69">
        <v>1142400</v>
      </c>
      <c r="X166" s="69">
        <f t="shared" si="47"/>
        <v>10400000</v>
      </c>
      <c r="Y166" s="95">
        <f t="shared" si="41"/>
        <v>0</v>
      </c>
    </row>
    <row r="167" spans="16:25" x14ac:dyDescent="0.25">
      <c r="P167" s="15">
        <f t="shared" si="45"/>
        <v>25</v>
      </c>
      <c r="Q167" s="69">
        <v>70000</v>
      </c>
      <c r="R167" s="69">
        <f t="shared" si="46"/>
        <v>0</v>
      </c>
      <c r="S167" s="69">
        <f t="shared" si="42"/>
        <v>329611.39199999999</v>
      </c>
      <c r="T167" s="69">
        <v>3500000</v>
      </c>
      <c r="U167" s="69">
        <f t="shared" si="43"/>
        <v>23450000</v>
      </c>
      <c r="V167" s="69">
        <f t="shared" si="44"/>
        <v>0</v>
      </c>
      <c r="W167" s="69">
        <v>1142400</v>
      </c>
      <c r="X167" s="69">
        <f t="shared" si="47"/>
        <v>11200000</v>
      </c>
      <c r="Y167" s="95">
        <f t="shared" si="41"/>
        <v>0</v>
      </c>
    </row>
    <row r="168" spans="16:25" x14ac:dyDescent="0.25">
      <c r="P168" s="15">
        <f t="shared" si="45"/>
        <v>26</v>
      </c>
      <c r="Q168" s="69">
        <v>75000</v>
      </c>
      <c r="R168" s="69">
        <f t="shared" si="46"/>
        <v>0</v>
      </c>
      <c r="S168" s="69">
        <f t="shared" si="42"/>
        <v>329611.39199999999</v>
      </c>
      <c r="T168" s="69">
        <v>3500000</v>
      </c>
      <c r="U168" s="69">
        <f t="shared" si="43"/>
        <v>25200000</v>
      </c>
      <c r="V168" s="69">
        <f t="shared" si="44"/>
        <v>0</v>
      </c>
      <c r="W168" s="69">
        <v>1142400</v>
      </c>
      <c r="X168" s="69">
        <f t="shared" si="47"/>
        <v>12000000</v>
      </c>
      <c r="Y168" s="95">
        <f t="shared" si="41"/>
        <v>0</v>
      </c>
    </row>
    <row r="169" spans="16:25" x14ac:dyDescent="0.25">
      <c r="P169" s="15">
        <f t="shared" si="45"/>
        <v>27</v>
      </c>
      <c r="Q169" s="69">
        <v>80000</v>
      </c>
      <c r="R169" s="69">
        <f t="shared" si="46"/>
        <v>0</v>
      </c>
      <c r="S169" s="69">
        <f t="shared" si="42"/>
        <v>329611.39199999999</v>
      </c>
      <c r="T169" s="69">
        <v>3500000</v>
      </c>
      <c r="U169" s="69">
        <f t="shared" si="43"/>
        <v>26950000</v>
      </c>
      <c r="V169" s="69">
        <f t="shared" si="44"/>
        <v>0</v>
      </c>
      <c r="W169" s="69">
        <v>1142400</v>
      </c>
      <c r="X169" s="69">
        <f t="shared" si="47"/>
        <v>12800000</v>
      </c>
      <c r="Y169" s="95">
        <f t="shared" si="41"/>
        <v>0</v>
      </c>
    </row>
    <row r="170" spans="16:25" x14ac:dyDescent="0.25">
      <c r="P170" s="15">
        <f t="shared" si="45"/>
        <v>28</v>
      </c>
      <c r="Q170" s="69">
        <v>85000</v>
      </c>
      <c r="R170" s="69">
        <f t="shared" si="46"/>
        <v>0</v>
      </c>
      <c r="S170" s="69">
        <f t="shared" si="42"/>
        <v>329611.39199999999</v>
      </c>
      <c r="T170" s="69">
        <v>3500000</v>
      </c>
      <c r="U170" s="69">
        <f t="shared" si="43"/>
        <v>28700000</v>
      </c>
      <c r="V170" s="69">
        <f t="shared" si="44"/>
        <v>0</v>
      </c>
      <c r="W170" s="69">
        <v>1142400</v>
      </c>
      <c r="X170" s="69">
        <f t="shared" si="47"/>
        <v>13600000</v>
      </c>
      <c r="Y170" s="95">
        <f t="shared" si="41"/>
        <v>0</v>
      </c>
    </row>
    <row r="171" spans="16:25" x14ac:dyDescent="0.25">
      <c r="P171" s="15">
        <f t="shared" si="45"/>
        <v>29</v>
      </c>
      <c r="Q171" s="69">
        <v>90000</v>
      </c>
      <c r="R171" s="69">
        <f t="shared" si="46"/>
        <v>0</v>
      </c>
      <c r="S171" s="69">
        <f t="shared" si="42"/>
        <v>329611.39199999999</v>
      </c>
      <c r="T171" s="69">
        <v>3500000</v>
      </c>
      <c r="U171" s="69">
        <f t="shared" si="43"/>
        <v>30450000</v>
      </c>
      <c r="V171" s="69">
        <f t="shared" si="44"/>
        <v>0</v>
      </c>
      <c r="W171" s="69">
        <v>1142400</v>
      </c>
      <c r="X171" s="69">
        <f t="shared" si="47"/>
        <v>14400000</v>
      </c>
      <c r="Y171" s="95">
        <f t="shared" si="41"/>
        <v>0</v>
      </c>
    </row>
    <row r="172" spans="16:25" x14ac:dyDescent="0.25">
      <c r="P172" s="15">
        <f t="shared" si="45"/>
        <v>30</v>
      </c>
      <c r="Q172" s="69">
        <v>95000</v>
      </c>
      <c r="R172" s="69">
        <f t="shared" si="46"/>
        <v>0</v>
      </c>
      <c r="S172" s="69">
        <f t="shared" si="42"/>
        <v>329611.39199999999</v>
      </c>
      <c r="T172" s="69">
        <v>3500000</v>
      </c>
      <c r="U172" s="69">
        <f t="shared" si="43"/>
        <v>32200000</v>
      </c>
      <c r="V172" s="69">
        <f t="shared" si="44"/>
        <v>0</v>
      </c>
      <c r="W172" s="69">
        <v>1142400</v>
      </c>
      <c r="X172" s="69">
        <f t="shared" si="47"/>
        <v>15200000</v>
      </c>
      <c r="Y172" s="95">
        <f t="shared" si="41"/>
        <v>0</v>
      </c>
    </row>
    <row r="173" spans="16:25" ht="15.75" thickBot="1" x14ac:dyDescent="0.3">
      <c r="P173" s="16">
        <f t="shared" si="45"/>
        <v>31</v>
      </c>
      <c r="Q173" s="72">
        <v>100000</v>
      </c>
      <c r="R173" s="72">
        <f t="shared" si="46"/>
        <v>0</v>
      </c>
      <c r="S173" s="72">
        <f t="shared" si="42"/>
        <v>329611.39199999999</v>
      </c>
      <c r="T173" s="72">
        <v>3500000</v>
      </c>
      <c r="U173" s="72">
        <f t="shared" si="43"/>
        <v>33950000</v>
      </c>
      <c r="V173" s="72">
        <f t="shared" si="44"/>
        <v>0</v>
      </c>
      <c r="W173" s="72">
        <v>1142400</v>
      </c>
      <c r="X173" s="72">
        <f t="shared" si="47"/>
        <v>16000000</v>
      </c>
      <c r="Y173" s="96">
        <f t="shared" si="41"/>
        <v>0</v>
      </c>
    </row>
    <row r="174" spans="16:25" ht="15.75" thickTop="1" x14ac:dyDescent="0.25"/>
  </sheetData>
  <mergeCells count="53">
    <mergeCell ref="P106:W106"/>
    <mergeCell ref="P141:W141"/>
    <mergeCell ref="D19:E19"/>
    <mergeCell ref="D12:E12"/>
    <mergeCell ref="D13:E13"/>
    <mergeCell ref="D14:E14"/>
    <mergeCell ref="D15:E15"/>
    <mergeCell ref="D16:E16"/>
    <mergeCell ref="D17:E17"/>
    <mergeCell ref="D18:E18"/>
    <mergeCell ref="A40:K40"/>
    <mergeCell ref="A41:K41"/>
    <mergeCell ref="A37:K37"/>
    <mergeCell ref="A29:E29"/>
    <mergeCell ref="A30:E30"/>
    <mergeCell ref="A32:E32"/>
    <mergeCell ref="B1:L1"/>
    <mergeCell ref="F7:G7"/>
    <mergeCell ref="D10:E10"/>
    <mergeCell ref="F10:H10"/>
    <mergeCell ref="D11:E11"/>
    <mergeCell ref="D20:E20"/>
    <mergeCell ref="F25:H25"/>
    <mergeCell ref="F28:H28"/>
    <mergeCell ref="A23:E23"/>
    <mergeCell ref="F23:H23"/>
    <mergeCell ref="A21:H21"/>
    <mergeCell ref="A38:K38"/>
    <mergeCell ref="A39:K39"/>
    <mergeCell ref="A24:E24"/>
    <mergeCell ref="F24:H24"/>
    <mergeCell ref="A36:K36"/>
    <mergeCell ref="A25:E25"/>
    <mergeCell ref="F30:H30"/>
    <mergeCell ref="F32:H32"/>
    <mergeCell ref="A31:E31"/>
    <mergeCell ref="F31:H31"/>
    <mergeCell ref="P71:W71"/>
    <mergeCell ref="A26:E26"/>
    <mergeCell ref="F26:H26"/>
    <mergeCell ref="A27:E27"/>
    <mergeCell ref="F27:H27"/>
    <mergeCell ref="A33:E33"/>
    <mergeCell ref="F33:H33"/>
    <mergeCell ref="A34:E34"/>
    <mergeCell ref="F34:H34"/>
    <mergeCell ref="A35:K35"/>
    <mergeCell ref="A28:E28"/>
    <mergeCell ref="F29:H29"/>
    <mergeCell ref="A43:K43"/>
    <mergeCell ref="A45:K45"/>
    <mergeCell ref="A44:K44"/>
    <mergeCell ref="A42:K42"/>
  </mergeCells>
  <pageMargins left="8.3333333333333329E-2" right="6.25E-2" top="8.3333333333333329E-2" bottom="8.3333333333333329E-2" header="0.3" footer="0.3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0:K56"/>
  <sheetViews>
    <sheetView view="pageLayout" topLeftCell="A25" zoomScale="115" zoomScaleNormal="100" zoomScaleSheetLayoutView="115" zoomScalePageLayoutView="115" workbookViewId="0">
      <selection activeCell="O20" sqref="O20"/>
    </sheetView>
  </sheetViews>
  <sheetFormatPr defaultRowHeight="15" x14ac:dyDescent="0.25"/>
  <cols>
    <col min="1" max="1" width="8.7109375" customWidth="1"/>
    <col min="2" max="2" width="14.28515625" customWidth="1"/>
    <col min="3" max="3" width="2.28515625" customWidth="1"/>
    <col min="4" max="4" width="6.5703125" customWidth="1"/>
    <col min="5" max="8" width="4.85546875" customWidth="1"/>
    <col min="9" max="9" width="18.7109375" customWidth="1"/>
    <col min="10" max="10" width="13.42578125" customWidth="1"/>
    <col min="11" max="11" width="18.7109375" customWidth="1"/>
  </cols>
  <sheetData>
    <row r="10" spans="1:11" ht="21" x14ac:dyDescent="0.25">
      <c r="A10" s="180" t="s">
        <v>54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</row>
    <row r="11" spans="1:11" x14ac:dyDescent="0.25">
      <c r="B11" s="42"/>
      <c r="C11" s="42"/>
      <c r="D11" s="42"/>
    </row>
    <row r="12" spans="1:11" x14ac:dyDescent="0.25">
      <c r="B12" s="42" t="s">
        <v>31</v>
      </c>
      <c r="C12" s="42" t="s">
        <v>2</v>
      </c>
      <c r="D12" s="42" t="s">
        <v>238</v>
      </c>
    </row>
    <row r="13" spans="1:11" x14ac:dyDescent="0.25">
      <c r="B13" s="42" t="s">
        <v>55</v>
      </c>
      <c r="C13" s="42" t="s">
        <v>2</v>
      </c>
      <c r="D13" s="42" t="str">
        <f>+PVSE!F2</f>
        <v>PT. Sibelco</v>
      </c>
    </row>
    <row r="14" spans="1:11" x14ac:dyDescent="0.25">
      <c r="B14" s="47"/>
      <c r="C14" s="42"/>
      <c r="D14" s="47" t="str">
        <f>+PVSE!F3</f>
        <v>Bp Junior</v>
      </c>
    </row>
    <row r="16" spans="1:11" x14ac:dyDescent="0.25">
      <c r="B16" s="42" t="s">
        <v>56</v>
      </c>
    </row>
    <row r="17" spans="2:11" x14ac:dyDescent="0.25">
      <c r="B17" s="42" t="s">
        <v>57</v>
      </c>
    </row>
    <row r="18" spans="2:11" ht="15.75" thickBot="1" x14ac:dyDescent="0.3"/>
    <row r="19" spans="2:11" ht="16.5" thickTop="1" thickBot="1" x14ac:dyDescent="0.3">
      <c r="B19" s="181" t="s">
        <v>58</v>
      </c>
      <c r="C19" s="182"/>
      <c r="D19" s="182"/>
      <c r="E19" s="182"/>
      <c r="F19" s="182"/>
      <c r="G19" s="182"/>
      <c r="H19" s="182"/>
      <c r="I19" s="182"/>
      <c r="J19" s="182" t="s">
        <v>33</v>
      </c>
      <c r="K19" s="183"/>
    </row>
    <row r="20" spans="2:11" ht="15.75" thickTop="1" x14ac:dyDescent="0.25">
      <c r="B20" s="49" t="str">
        <f>+PVSE!F4</f>
        <v>PAPER BAG 50 KG Polos</v>
      </c>
      <c r="C20" s="43"/>
      <c r="D20" s="43"/>
      <c r="E20" s="43"/>
      <c r="F20" s="43"/>
      <c r="G20" s="43"/>
      <c r="H20" s="43"/>
      <c r="I20" s="43"/>
      <c r="J20" s="52"/>
      <c r="K20" s="53"/>
    </row>
    <row r="21" spans="2:11" x14ac:dyDescent="0.25">
      <c r="B21" s="50" t="s">
        <v>75</v>
      </c>
      <c r="C21" t="s">
        <v>2</v>
      </c>
      <c r="D21" s="18">
        <f>+PVSE!F6</f>
        <v>640</v>
      </c>
      <c r="E21" s="18" t="s">
        <v>76</v>
      </c>
      <c r="F21" s="18">
        <f>+PVSE!G6</f>
        <v>540</v>
      </c>
      <c r="G21" s="18" t="s">
        <v>76</v>
      </c>
      <c r="H21" s="18">
        <f>+PVSE!H6</f>
        <v>120</v>
      </c>
      <c r="I21" t="s">
        <v>77</v>
      </c>
      <c r="J21" s="54"/>
      <c r="K21" s="55"/>
    </row>
    <row r="22" spans="2:11" x14ac:dyDescent="0.25">
      <c r="B22" s="44" t="s">
        <v>14</v>
      </c>
      <c r="C22" s="43" t="s">
        <v>2</v>
      </c>
      <c r="D22" s="43"/>
      <c r="E22" s="43"/>
      <c r="F22" s="43"/>
      <c r="G22" s="43"/>
      <c r="H22" s="43"/>
      <c r="I22" s="43"/>
      <c r="J22" s="54"/>
      <c r="K22" s="55"/>
    </row>
    <row r="23" spans="2:11" x14ac:dyDescent="0.25">
      <c r="B23" s="44" t="s">
        <v>69</v>
      </c>
      <c r="C23" s="43" t="s">
        <v>2</v>
      </c>
      <c r="D23" s="60" t="str">
        <f>+VLOOKUP(PVSE!C11,PVSE!$P$3:$W$69,3,FALSE)</f>
        <v>Brown Sack Kraft</v>
      </c>
      <c r="E23" s="43"/>
      <c r="F23" s="43"/>
      <c r="G23" s="43"/>
      <c r="H23" s="43">
        <f>+VLOOKUP(PVSE!C11,PVSE!$P$3:$W$69,4,FALSE)</f>
        <v>80</v>
      </c>
      <c r="I23" s="43" t="s">
        <v>70</v>
      </c>
      <c r="J23" s="54"/>
      <c r="K23" s="55"/>
    </row>
    <row r="24" spans="2:11" x14ac:dyDescent="0.25">
      <c r="B24" s="44" t="s">
        <v>71</v>
      </c>
      <c r="C24" s="43" t="s">
        <v>2</v>
      </c>
      <c r="D24" s="60" t="str">
        <f>+VLOOKUP(PVSE!C12,PVSE!$P$3:$W$69,3,FALSE)</f>
        <v>Brown Sack Kraft</v>
      </c>
      <c r="E24" s="43"/>
      <c r="F24" s="43"/>
      <c r="G24" s="43"/>
      <c r="H24" s="43">
        <f>+VLOOKUP(PVSE!C12,PVSE!$P$3:$W$69,4,FALSE)</f>
        <v>80</v>
      </c>
      <c r="I24" s="43" t="s">
        <v>70</v>
      </c>
      <c r="J24" s="54"/>
      <c r="K24" s="55"/>
    </row>
    <row r="25" spans="2:11" x14ac:dyDescent="0.25">
      <c r="B25" s="44" t="s">
        <v>73</v>
      </c>
      <c r="C25" s="43" t="s">
        <v>2</v>
      </c>
      <c r="D25" s="60" t="str">
        <f>+VLOOKUP(PVSE!C13,PVSE!$P$3:$W$69,3,FALSE)</f>
        <v>Brown Sack Kraft</v>
      </c>
      <c r="E25" s="43"/>
      <c r="F25" s="43"/>
      <c r="G25" s="43"/>
      <c r="H25" s="43">
        <f>+VLOOKUP(PVSE!C13,PVSE!$P$3:$W$69,4,FALSE)</f>
        <v>80</v>
      </c>
      <c r="I25" s="43" t="s">
        <v>70</v>
      </c>
      <c r="J25" s="58">
        <f>+PVSE!L43</f>
        <v>6000</v>
      </c>
      <c r="K25" s="59" t="s">
        <v>82</v>
      </c>
    </row>
    <row r="26" spans="2:11" x14ac:dyDescent="0.25">
      <c r="B26" s="44" t="s">
        <v>74</v>
      </c>
      <c r="C26" s="43" t="s">
        <v>2</v>
      </c>
      <c r="D26" s="60">
        <f>+VLOOKUP(PVSE!C14,PVSE!$P$3:$W$69,3,FALSE)</f>
        <v>0</v>
      </c>
      <c r="E26" s="43"/>
      <c r="F26" s="43"/>
      <c r="G26" s="43"/>
      <c r="H26" s="43">
        <f>+VLOOKUP(PVSE!C14,PVSE!$P$3:$W$69,4,FALSE)</f>
        <v>0</v>
      </c>
      <c r="I26" s="43" t="s">
        <v>72</v>
      </c>
      <c r="J26" s="58"/>
      <c r="K26" s="59"/>
    </row>
    <row r="27" spans="2:11" x14ac:dyDescent="0.25">
      <c r="B27" s="44" t="s">
        <v>168</v>
      </c>
      <c r="C27" s="43" t="s">
        <v>2</v>
      </c>
      <c r="D27" s="60">
        <f>+VLOOKUP(PVSE!C15,PVSE!$P$3:$W$69,3,FALSE)</f>
        <v>0</v>
      </c>
      <c r="E27" s="43"/>
      <c r="F27" s="43"/>
      <c r="G27" s="43"/>
      <c r="H27" s="43">
        <f>+VLOOKUP(PVSE!C15,PVSE!$P$3:$W$69,4,FALSE)</f>
        <v>0</v>
      </c>
      <c r="I27" s="43" t="s">
        <v>70</v>
      </c>
      <c r="J27" s="54"/>
      <c r="K27" s="55"/>
    </row>
    <row r="28" spans="2:11" x14ac:dyDescent="0.25">
      <c r="B28" s="44"/>
      <c r="C28" s="43"/>
      <c r="D28" s="51"/>
      <c r="E28" s="51"/>
      <c r="F28" s="51"/>
      <c r="G28" s="51"/>
      <c r="H28" s="51"/>
      <c r="I28" s="43"/>
      <c r="J28" s="54"/>
      <c r="K28" s="55"/>
    </row>
    <row r="29" spans="2:11" x14ac:dyDescent="0.25">
      <c r="B29" s="44" t="s">
        <v>78</v>
      </c>
      <c r="C29" s="43" t="s">
        <v>2</v>
      </c>
      <c r="D29" s="60">
        <f>+PVSE!F9</f>
        <v>0</v>
      </c>
      <c r="E29" s="43" t="s">
        <v>29</v>
      </c>
      <c r="F29" s="43"/>
      <c r="G29" s="43"/>
      <c r="H29" s="43"/>
      <c r="I29" s="43"/>
      <c r="J29" s="54"/>
      <c r="K29" s="55"/>
    </row>
    <row r="30" spans="2:11" x14ac:dyDescent="0.25">
      <c r="B30" s="44" t="s">
        <v>79</v>
      </c>
      <c r="C30" s="43" t="s">
        <v>2</v>
      </c>
      <c r="D30" s="43" t="str">
        <f>+PVSE!F5</f>
        <v>PVSE</v>
      </c>
      <c r="E30" s="43"/>
      <c r="F30" s="43"/>
      <c r="G30" s="43"/>
      <c r="H30" s="43"/>
      <c r="I30" s="43"/>
      <c r="J30" s="54"/>
      <c r="K30" s="55"/>
    </row>
    <row r="31" spans="2:11" x14ac:dyDescent="0.25">
      <c r="B31" s="44" t="s">
        <v>80</v>
      </c>
      <c r="C31" s="43" t="s">
        <v>2</v>
      </c>
      <c r="D31" s="184">
        <f>+PVSE!F8</f>
        <v>5000</v>
      </c>
      <c r="E31" s="184"/>
      <c r="F31" s="43" t="s">
        <v>81</v>
      </c>
      <c r="G31" s="43"/>
      <c r="H31" s="43"/>
      <c r="I31" s="43"/>
      <c r="J31" s="54"/>
      <c r="K31" s="55"/>
    </row>
    <row r="32" spans="2:11" ht="15.75" thickBot="1" x14ac:dyDescent="0.3">
      <c r="B32" s="45"/>
      <c r="C32" s="46"/>
      <c r="D32" s="46"/>
      <c r="E32" s="46"/>
      <c r="F32" s="46"/>
      <c r="G32" s="46"/>
      <c r="H32" s="46"/>
      <c r="I32" s="46"/>
      <c r="J32" s="56"/>
      <c r="K32" s="57"/>
    </row>
    <row r="33" spans="2:11" ht="15.75" thickTop="1" x14ac:dyDescent="0.25"/>
    <row r="34" spans="2:11" x14ac:dyDescent="0.25">
      <c r="B34" s="42" t="s">
        <v>59</v>
      </c>
      <c r="C34" s="42"/>
      <c r="D34" s="42"/>
    </row>
    <row r="35" spans="2:11" x14ac:dyDescent="0.25">
      <c r="B35" s="42" t="s">
        <v>60</v>
      </c>
      <c r="C35" s="42"/>
      <c r="D35" s="42"/>
    </row>
    <row r="36" spans="2:11" x14ac:dyDescent="0.25">
      <c r="B36" s="42" t="s">
        <v>61</v>
      </c>
      <c r="C36" s="42"/>
      <c r="D36" s="42"/>
    </row>
    <row r="37" spans="2:11" x14ac:dyDescent="0.25">
      <c r="B37" s="42" t="s">
        <v>62</v>
      </c>
      <c r="C37" s="42"/>
      <c r="D37" s="42"/>
    </row>
    <row r="38" spans="2:11" x14ac:dyDescent="0.25">
      <c r="B38" s="42" t="s">
        <v>63</v>
      </c>
      <c r="C38" s="42"/>
      <c r="D38" s="42"/>
    </row>
    <row r="39" spans="2:11" x14ac:dyDescent="0.25">
      <c r="B39" s="42" t="s">
        <v>194</v>
      </c>
      <c r="C39" s="42"/>
      <c r="D39" s="42"/>
    </row>
    <row r="40" spans="2:11" x14ac:dyDescent="0.25">
      <c r="B40" s="42" t="s">
        <v>239</v>
      </c>
      <c r="C40" s="42"/>
      <c r="D40" s="42"/>
    </row>
    <row r="41" spans="2:11" x14ac:dyDescent="0.25">
      <c r="B41" s="42" t="s">
        <v>196</v>
      </c>
      <c r="C41" s="42"/>
      <c r="D41" s="42"/>
    </row>
    <row r="42" spans="2:11" x14ac:dyDescent="0.25">
      <c r="B42" s="42"/>
      <c r="C42" s="42"/>
      <c r="D42" s="42"/>
    </row>
    <row r="43" spans="2:11" x14ac:dyDescent="0.25">
      <c r="B43" t="s">
        <v>64</v>
      </c>
    </row>
    <row r="44" spans="2:11" x14ac:dyDescent="0.25">
      <c r="B44" s="42" t="s">
        <v>65</v>
      </c>
    </row>
    <row r="45" spans="2:11" x14ac:dyDescent="0.25">
      <c r="B45" s="48" t="s">
        <v>66</v>
      </c>
    </row>
    <row r="47" spans="2:11" x14ac:dyDescent="0.25">
      <c r="B47" s="47"/>
      <c r="J47" s="47" t="s">
        <v>83</v>
      </c>
      <c r="K47" s="89">
        <f>+PVSE!F7</f>
        <v>45433</v>
      </c>
    </row>
    <row r="48" spans="2:11" x14ac:dyDescent="0.25">
      <c r="B48" s="47"/>
      <c r="J48" s="47" t="s">
        <v>67</v>
      </c>
    </row>
    <row r="49" spans="2:10" x14ac:dyDescent="0.25">
      <c r="B49" s="42"/>
      <c r="J49" s="42" t="s">
        <v>234</v>
      </c>
    </row>
    <row r="56" spans="2:10" x14ac:dyDescent="0.25">
      <c r="B56" s="42"/>
      <c r="J56" s="42" t="s">
        <v>240</v>
      </c>
    </row>
  </sheetData>
  <mergeCells count="4">
    <mergeCell ref="A10:K10"/>
    <mergeCell ref="B19:I19"/>
    <mergeCell ref="J19:K19"/>
    <mergeCell ref="D31:E31"/>
  </mergeCells>
  <phoneticPr fontId="13" type="noConversion"/>
  <pageMargins left="3.937007874015748E-2" right="7.874015748031496E-2" top="7.874015748031496E-2" bottom="7.874015748031496E-2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74"/>
  <sheetViews>
    <sheetView view="pageLayout" topLeftCell="C1" zoomScaleNormal="70" workbookViewId="0">
      <selection activeCell="O9" sqref="O9"/>
    </sheetView>
  </sheetViews>
  <sheetFormatPr defaultRowHeight="15" x14ac:dyDescent="0.25"/>
  <cols>
    <col min="1" max="1" width="11.85546875" bestFit="1" customWidth="1"/>
    <col min="2" max="2" width="21.28515625" customWidth="1"/>
    <col min="3" max="3" width="6" customWidth="1"/>
    <col min="4" max="4" width="4.7109375" customWidth="1"/>
    <col min="5" max="5" width="1.7109375" customWidth="1"/>
    <col min="6" max="6" width="6.5703125" style="18" customWidth="1"/>
    <col min="7" max="7" width="5.7109375" style="18" customWidth="1"/>
    <col min="8" max="8" width="7.28515625" style="18" customWidth="1"/>
    <col min="9" max="9" width="10.140625" customWidth="1"/>
    <col min="10" max="10" width="6.140625" customWidth="1"/>
    <col min="11" max="11" width="12.85546875" customWidth="1"/>
    <col min="12" max="12" width="14.5703125" bestFit="1" customWidth="1"/>
    <col min="13" max="13" width="12.140625" bestFit="1" customWidth="1"/>
    <col min="14" max="14" width="14.5703125" bestFit="1" customWidth="1"/>
    <col min="15" max="15" width="17.42578125" customWidth="1"/>
    <col min="16" max="16" width="6.7109375" bestFit="1" customWidth="1"/>
    <col min="17" max="17" width="17.7109375" bestFit="1" customWidth="1"/>
    <col min="18" max="18" width="23.42578125" customWidth="1"/>
    <col min="19" max="19" width="15.42578125" bestFit="1" customWidth="1"/>
    <col min="20" max="20" width="17.85546875" bestFit="1" customWidth="1"/>
    <col min="21" max="21" width="10.5703125" customWidth="1"/>
    <col min="22" max="22" width="10.28515625" customWidth="1"/>
  </cols>
  <sheetData>
    <row r="1" spans="1:25" ht="24" thickBot="1" x14ac:dyDescent="0.4">
      <c r="B1" s="174" t="s">
        <v>0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9"/>
      <c r="N1" s="19"/>
      <c r="O1" s="19"/>
      <c r="R1" s="17" t="s">
        <v>7</v>
      </c>
      <c r="S1" s="17"/>
      <c r="T1" s="17"/>
      <c r="U1" s="17"/>
      <c r="V1" s="17"/>
    </row>
    <row r="2" spans="1:25" ht="13.5" customHeight="1" thickTop="1" x14ac:dyDescent="0.25">
      <c r="B2" s="1" t="s">
        <v>1</v>
      </c>
      <c r="C2" s="1"/>
      <c r="D2" s="1"/>
      <c r="E2" t="s">
        <v>2</v>
      </c>
      <c r="F2" s="28" t="s">
        <v>93</v>
      </c>
      <c r="G2" s="29"/>
      <c r="H2" s="29"/>
      <c r="P2" s="68" t="s">
        <v>47</v>
      </c>
      <c r="Q2" s="21" t="s">
        <v>14</v>
      </c>
      <c r="R2" s="20" t="s">
        <v>13</v>
      </c>
      <c r="S2" s="21" t="s">
        <v>26</v>
      </c>
      <c r="T2" s="21" t="s">
        <v>15</v>
      </c>
      <c r="U2" s="21" t="s">
        <v>24</v>
      </c>
      <c r="V2" s="21" t="s">
        <v>12</v>
      </c>
      <c r="W2" s="22" t="s">
        <v>16</v>
      </c>
    </row>
    <row r="3" spans="1:25" ht="13.5" customHeight="1" x14ac:dyDescent="0.25">
      <c r="B3" s="1" t="s">
        <v>92</v>
      </c>
      <c r="C3" s="1"/>
      <c r="D3" s="1"/>
      <c r="E3" t="s">
        <v>2</v>
      </c>
      <c r="F3" s="28" t="s">
        <v>94</v>
      </c>
      <c r="G3" s="29"/>
      <c r="H3" s="29"/>
      <c r="P3" s="37" t="s">
        <v>249</v>
      </c>
      <c r="Q3" s="152" t="s">
        <v>247</v>
      </c>
      <c r="R3" s="23" t="s">
        <v>248</v>
      </c>
      <c r="S3" s="69">
        <v>68</v>
      </c>
      <c r="T3" s="69">
        <v>6200</v>
      </c>
      <c r="U3" s="71">
        <f t="shared" ref="U3:U16" si="0">+T3*0.11</f>
        <v>682</v>
      </c>
      <c r="V3" s="71">
        <f t="shared" ref="V3:V16" si="1">+U3+T3</f>
        <v>6882</v>
      </c>
      <c r="W3" s="24" t="s">
        <v>18</v>
      </c>
    </row>
    <row r="4" spans="1:25" ht="13.5" customHeight="1" x14ac:dyDescent="0.25">
      <c r="B4" s="1" t="s">
        <v>3</v>
      </c>
      <c r="C4" s="1"/>
      <c r="D4" s="1"/>
      <c r="E4" t="s">
        <v>2</v>
      </c>
      <c r="F4" s="28" t="s">
        <v>95</v>
      </c>
      <c r="G4" s="29"/>
      <c r="H4" s="29"/>
      <c r="P4" s="37" t="s">
        <v>100</v>
      </c>
      <c r="Q4" s="152" t="s">
        <v>102</v>
      </c>
      <c r="R4" s="23" t="s">
        <v>181</v>
      </c>
      <c r="S4" s="69">
        <v>70</v>
      </c>
      <c r="T4" s="69">
        <f>17500+500</f>
        <v>18000</v>
      </c>
      <c r="U4" s="71">
        <f t="shared" si="0"/>
        <v>1980</v>
      </c>
      <c r="V4" s="71">
        <f t="shared" si="1"/>
        <v>19980</v>
      </c>
      <c r="W4" s="24" t="s">
        <v>18</v>
      </c>
    </row>
    <row r="5" spans="1:25" ht="13.5" customHeight="1" x14ac:dyDescent="0.25">
      <c r="B5" s="1" t="s">
        <v>4</v>
      </c>
      <c r="C5" s="1"/>
      <c r="D5" s="1"/>
      <c r="E5" t="s">
        <v>2</v>
      </c>
      <c r="F5" s="28" t="s">
        <v>87</v>
      </c>
      <c r="G5" s="29"/>
      <c r="H5" s="29"/>
      <c r="P5" s="37" t="s">
        <v>101</v>
      </c>
      <c r="Q5" s="152" t="s">
        <v>102</v>
      </c>
      <c r="R5" s="23" t="s">
        <v>181</v>
      </c>
      <c r="S5" s="69">
        <v>80</v>
      </c>
      <c r="T5" s="69">
        <f>17500+500</f>
        <v>18000</v>
      </c>
      <c r="U5" s="71">
        <f t="shared" si="0"/>
        <v>1980</v>
      </c>
      <c r="V5" s="71">
        <f t="shared" si="1"/>
        <v>19980</v>
      </c>
      <c r="W5" s="24" t="s">
        <v>18</v>
      </c>
    </row>
    <row r="6" spans="1:25" s="18" customFormat="1" ht="13.5" customHeight="1" x14ac:dyDescent="0.25">
      <c r="A6"/>
      <c r="B6" s="1" t="s">
        <v>21</v>
      </c>
      <c r="C6" s="1"/>
      <c r="D6" s="1"/>
      <c r="E6" t="s">
        <v>2</v>
      </c>
      <c r="F6" s="28">
        <v>720</v>
      </c>
      <c r="G6" s="29">
        <v>490</v>
      </c>
      <c r="H6" s="29">
        <v>120</v>
      </c>
      <c r="I6"/>
      <c r="J6"/>
      <c r="K6"/>
      <c r="L6"/>
      <c r="M6"/>
      <c r="N6"/>
      <c r="O6"/>
      <c r="P6" s="37" t="s">
        <v>207</v>
      </c>
      <c r="Q6" s="152" t="s">
        <v>98</v>
      </c>
      <c r="R6" s="23" t="s">
        <v>179</v>
      </c>
      <c r="S6" s="69">
        <v>70</v>
      </c>
      <c r="T6" s="69">
        <f>15780+500</f>
        <v>16280</v>
      </c>
      <c r="U6" s="71">
        <f t="shared" si="0"/>
        <v>1790.8</v>
      </c>
      <c r="V6" s="71">
        <f t="shared" si="1"/>
        <v>18070.8</v>
      </c>
      <c r="W6" s="24" t="s">
        <v>18</v>
      </c>
    </row>
    <row r="7" spans="1:25" ht="13.5" customHeight="1" x14ac:dyDescent="0.25">
      <c r="A7" s="18"/>
      <c r="B7" s="1" t="s">
        <v>5</v>
      </c>
      <c r="C7" s="1"/>
      <c r="D7" s="1"/>
      <c r="E7" t="s">
        <v>2</v>
      </c>
      <c r="F7" s="175">
        <v>45167</v>
      </c>
      <c r="G7" s="175"/>
      <c r="H7" s="29"/>
      <c r="I7" s="18"/>
      <c r="J7" s="18"/>
      <c r="K7" s="18"/>
      <c r="L7" s="10"/>
      <c r="M7" s="10"/>
      <c r="N7" s="10"/>
      <c r="O7" s="10"/>
      <c r="P7" s="37" t="s">
        <v>99</v>
      </c>
      <c r="Q7" s="152" t="s">
        <v>98</v>
      </c>
      <c r="R7" s="23" t="s">
        <v>179</v>
      </c>
      <c r="S7" s="69">
        <v>80</v>
      </c>
      <c r="T7" s="69">
        <f>15780+500</f>
        <v>16280</v>
      </c>
      <c r="U7" s="71">
        <f t="shared" si="0"/>
        <v>1790.8</v>
      </c>
      <c r="V7" s="71">
        <f t="shared" si="1"/>
        <v>18070.8</v>
      </c>
      <c r="W7" s="24" t="s">
        <v>18</v>
      </c>
      <c r="X7" s="18"/>
      <c r="Y7" s="18"/>
    </row>
    <row r="8" spans="1:25" ht="13.5" customHeight="1" x14ac:dyDescent="0.25">
      <c r="B8" s="1" t="s">
        <v>6</v>
      </c>
      <c r="C8" s="1"/>
      <c r="D8" s="1"/>
      <c r="E8" t="s">
        <v>2</v>
      </c>
      <c r="F8" s="28">
        <v>5000</v>
      </c>
      <c r="G8" s="29"/>
      <c r="H8" s="29"/>
      <c r="P8" s="37" t="s">
        <v>210</v>
      </c>
      <c r="Q8" s="152" t="s">
        <v>212</v>
      </c>
      <c r="R8" s="23" t="s">
        <v>179</v>
      </c>
      <c r="S8" s="69">
        <v>70</v>
      </c>
      <c r="T8" s="69">
        <f>16800+500</f>
        <v>17300</v>
      </c>
      <c r="U8" s="71">
        <f t="shared" si="0"/>
        <v>1903</v>
      </c>
      <c r="V8" s="71">
        <f t="shared" si="1"/>
        <v>19203</v>
      </c>
      <c r="W8" s="24" t="s">
        <v>18</v>
      </c>
      <c r="X8" s="18"/>
      <c r="Y8" s="18"/>
    </row>
    <row r="9" spans="1:25" ht="13.5" customHeight="1" thickBot="1" x14ac:dyDescent="0.3">
      <c r="B9" s="1" t="s">
        <v>28</v>
      </c>
      <c r="C9" s="1"/>
      <c r="D9" s="1"/>
      <c r="E9" t="s">
        <v>2</v>
      </c>
      <c r="F9" s="28">
        <v>1</v>
      </c>
      <c r="G9" s="29" t="s">
        <v>29</v>
      </c>
      <c r="H9" s="29"/>
      <c r="P9" s="37" t="s">
        <v>211</v>
      </c>
      <c r="Q9" s="152" t="s">
        <v>212</v>
      </c>
      <c r="R9" s="23" t="s">
        <v>179</v>
      </c>
      <c r="S9" s="69">
        <v>80</v>
      </c>
      <c r="T9" s="69">
        <f>16800+500</f>
        <v>17300</v>
      </c>
      <c r="U9" s="71">
        <f t="shared" si="0"/>
        <v>1903</v>
      </c>
      <c r="V9" s="71">
        <f t="shared" si="1"/>
        <v>19203</v>
      </c>
      <c r="W9" s="24" t="s">
        <v>18</v>
      </c>
      <c r="X9" s="18"/>
      <c r="Y9" s="18"/>
    </row>
    <row r="10" spans="1:25" ht="13.5" customHeight="1" thickTop="1" x14ac:dyDescent="0.25">
      <c r="A10" s="39" t="s">
        <v>41</v>
      </c>
      <c r="B10" s="21" t="s">
        <v>8</v>
      </c>
      <c r="C10" s="21" t="s">
        <v>47</v>
      </c>
      <c r="D10" s="166" t="s">
        <v>26</v>
      </c>
      <c r="E10" s="166"/>
      <c r="F10" s="166" t="s">
        <v>9</v>
      </c>
      <c r="G10" s="166"/>
      <c r="H10" s="166"/>
      <c r="I10" s="21" t="s">
        <v>6</v>
      </c>
      <c r="J10" s="21" t="s">
        <v>10</v>
      </c>
      <c r="K10" s="21" t="s">
        <v>11</v>
      </c>
      <c r="L10" s="21" t="s">
        <v>12</v>
      </c>
      <c r="M10" s="21" t="s">
        <v>24</v>
      </c>
      <c r="N10" s="22" t="s">
        <v>25</v>
      </c>
      <c r="O10" s="11"/>
      <c r="P10" s="37" t="s">
        <v>96</v>
      </c>
      <c r="Q10" s="152" t="s">
        <v>86</v>
      </c>
      <c r="R10" s="23" t="s">
        <v>182</v>
      </c>
      <c r="S10" s="69">
        <v>70</v>
      </c>
      <c r="T10" s="69">
        <f>21700+500</f>
        <v>22200</v>
      </c>
      <c r="U10" s="71">
        <f t="shared" si="0"/>
        <v>2442</v>
      </c>
      <c r="V10" s="71">
        <f t="shared" si="1"/>
        <v>24642</v>
      </c>
      <c r="W10" s="24" t="s">
        <v>18</v>
      </c>
      <c r="X10" s="18"/>
      <c r="Y10" s="18"/>
    </row>
    <row r="11" spans="1:25" ht="13.5" customHeight="1" x14ac:dyDescent="0.25">
      <c r="A11" s="15" t="s">
        <v>42</v>
      </c>
      <c r="B11" s="3" t="str">
        <f t="shared" ref="B11:B20" si="2">+VLOOKUP(C11,$P$3:$W$69,2,FALSE)</f>
        <v>Canfor HP Ex White</v>
      </c>
      <c r="C11" s="61" t="s">
        <v>96</v>
      </c>
      <c r="D11" s="185">
        <f t="shared" ref="D11:D20" si="3">+VLOOKUP(C11,$P$3:$W$69,4,FALSE)</f>
        <v>70</v>
      </c>
      <c r="E11" s="185"/>
      <c r="F11" s="34">
        <f>+$G$6*2+30</f>
        <v>1010</v>
      </c>
      <c r="G11" s="5" t="s">
        <v>17</v>
      </c>
      <c r="H11" s="34">
        <f>+F6+H6/2</f>
        <v>780</v>
      </c>
      <c r="I11" s="36">
        <f>(F11*H11*D11)/1000000</f>
        <v>55.146000000000001</v>
      </c>
      <c r="J11" s="2" t="s">
        <v>27</v>
      </c>
      <c r="K11" s="3">
        <f t="shared" ref="K11:K19" si="4">+VLOOKUP(C11,$P$3:$W$69,5,FALSE)</f>
        <v>22200</v>
      </c>
      <c r="L11" s="4">
        <f>IF(D11&gt;0,K11*I11,0)/1000</f>
        <v>1224.2411999999999</v>
      </c>
      <c r="M11" s="4">
        <f>+L11*11%</f>
        <v>134.66653199999999</v>
      </c>
      <c r="N11" s="32">
        <f>+M11+L11</f>
        <v>1358.9077319999999</v>
      </c>
      <c r="O11" s="9"/>
      <c r="P11" s="37" t="s">
        <v>97</v>
      </c>
      <c r="Q11" s="152" t="s">
        <v>86</v>
      </c>
      <c r="R11" s="23" t="s">
        <v>182</v>
      </c>
      <c r="S11" s="69">
        <v>80</v>
      </c>
      <c r="T11" s="69">
        <f>21850+500</f>
        <v>22350</v>
      </c>
      <c r="U11" s="71">
        <f t="shared" si="0"/>
        <v>2458.5</v>
      </c>
      <c r="V11" s="71">
        <f t="shared" si="1"/>
        <v>24808.5</v>
      </c>
      <c r="W11" s="24" t="s">
        <v>18</v>
      </c>
      <c r="X11" s="18"/>
      <c r="Y11" s="18"/>
    </row>
    <row r="12" spans="1:25" ht="13.5" customHeight="1" x14ac:dyDescent="0.25">
      <c r="A12" s="15" t="s">
        <v>43</v>
      </c>
      <c r="B12" s="3" t="str">
        <f t="shared" si="2"/>
        <v>Natura Kraft Krime</v>
      </c>
      <c r="C12" s="61" t="s">
        <v>202</v>
      </c>
      <c r="D12" s="185">
        <f t="shared" si="3"/>
        <v>72</v>
      </c>
      <c r="E12" s="185"/>
      <c r="F12" s="34">
        <f>+$G$6*2+30</f>
        <v>1010</v>
      </c>
      <c r="G12" s="5" t="s">
        <v>17</v>
      </c>
      <c r="H12" s="34">
        <f>+$F$6+$H$6/2+30</f>
        <v>810</v>
      </c>
      <c r="I12" s="36">
        <f>(F12*H12*D12)/1000000</f>
        <v>58.903199999999998</v>
      </c>
      <c r="J12" s="2" t="s">
        <v>27</v>
      </c>
      <c r="K12" s="3">
        <f t="shared" si="4"/>
        <v>13000</v>
      </c>
      <c r="L12" s="4">
        <f>IF(D12&gt;0,K12*I12,0)/1000</f>
        <v>765.74159999999995</v>
      </c>
      <c r="M12" s="4">
        <f t="shared" ref="M12:M20" si="5">+L12*11%</f>
        <v>84.23157599999999</v>
      </c>
      <c r="N12" s="32">
        <f>+M12+L12</f>
        <v>849.97317599999997</v>
      </c>
      <c r="O12" s="9"/>
      <c r="P12" s="37" t="s">
        <v>202</v>
      </c>
      <c r="Q12" s="23" t="s">
        <v>201</v>
      </c>
      <c r="R12" s="23" t="s">
        <v>180</v>
      </c>
      <c r="S12" s="69">
        <v>72</v>
      </c>
      <c r="T12" s="82">
        <f>12500+500</f>
        <v>13000</v>
      </c>
      <c r="U12" s="71">
        <f t="shared" si="0"/>
        <v>1430</v>
      </c>
      <c r="V12" s="71">
        <f t="shared" si="1"/>
        <v>14430</v>
      </c>
      <c r="W12" s="24" t="s">
        <v>18</v>
      </c>
      <c r="X12" s="18"/>
      <c r="Y12" s="18"/>
    </row>
    <row r="13" spans="1:25" ht="13.5" customHeight="1" x14ac:dyDescent="0.25">
      <c r="A13" s="15" t="s">
        <v>43</v>
      </c>
      <c r="B13" s="3" t="str">
        <f t="shared" si="2"/>
        <v>Natura Kraft Krime</v>
      </c>
      <c r="C13" s="61" t="s">
        <v>202</v>
      </c>
      <c r="D13" s="185">
        <f t="shared" si="3"/>
        <v>72</v>
      </c>
      <c r="E13" s="185"/>
      <c r="F13" s="34">
        <f>+$G$6*2+30</f>
        <v>1010</v>
      </c>
      <c r="G13" s="5" t="s">
        <v>17</v>
      </c>
      <c r="H13" s="34">
        <f>+$F$6+$H$6/2+30</f>
        <v>810</v>
      </c>
      <c r="I13" s="36">
        <f>(F13*H13*D13)/1000000</f>
        <v>58.903199999999998</v>
      </c>
      <c r="J13" s="2" t="s">
        <v>27</v>
      </c>
      <c r="K13" s="3">
        <f t="shared" si="4"/>
        <v>13000</v>
      </c>
      <c r="L13" s="4">
        <f>IF(D13&gt;0,K13*I13,0)/1000</f>
        <v>765.74159999999995</v>
      </c>
      <c r="M13" s="4">
        <f t="shared" ref="M13" si="6">+L13*11%</f>
        <v>84.23157599999999</v>
      </c>
      <c r="N13" s="32">
        <f>+M13+L13</f>
        <v>849.97317599999997</v>
      </c>
      <c r="O13" s="9"/>
      <c r="P13" s="37" t="s">
        <v>244</v>
      </c>
      <c r="Q13" s="152" t="s">
        <v>245</v>
      </c>
      <c r="R13" s="23" t="s">
        <v>246</v>
      </c>
      <c r="S13" s="69">
        <v>75</v>
      </c>
      <c r="T13" s="69">
        <v>9650</v>
      </c>
      <c r="U13" s="71">
        <f t="shared" si="0"/>
        <v>1061.5</v>
      </c>
      <c r="V13" s="71">
        <f t="shared" si="1"/>
        <v>10711.5</v>
      </c>
      <c r="W13" s="24" t="s">
        <v>18</v>
      </c>
    </row>
    <row r="14" spans="1:25" ht="13.5" customHeight="1" x14ac:dyDescent="0.25">
      <c r="A14" s="15" t="s">
        <v>43</v>
      </c>
      <c r="B14" s="3" t="str">
        <f t="shared" si="2"/>
        <v>Natura Kraft Krime</v>
      </c>
      <c r="C14" s="61" t="s">
        <v>202</v>
      </c>
      <c r="D14" s="185">
        <f t="shared" si="3"/>
        <v>72</v>
      </c>
      <c r="E14" s="185"/>
      <c r="F14" s="34">
        <f>+$G$6*2+30</f>
        <v>1010</v>
      </c>
      <c r="G14" s="5" t="s">
        <v>17</v>
      </c>
      <c r="H14" s="34">
        <f>+$F$6+$H$6/2+30</f>
        <v>810</v>
      </c>
      <c r="I14" s="36">
        <f>(F14*H14*D14)/1000000</f>
        <v>58.903199999999998</v>
      </c>
      <c r="J14" s="2" t="s">
        <v>27</v>
      </c>
      <c r="K14" s="3">
        <f t="shared" si="4"/>
        <v>13000</v>
      </c>
      <c r="L14" s="4">
        <f t="shared" ref="L14:L19" si="7">IF(D14&gt;0,K14*I14,0)/1000</f>
        <v>765.74159999999995</v>
      </c>
      <c r="M14" s="4">
        <f t="shared" si="5"/>
        <v>84.23157599999999</v>
      </c>
      <c r="N14" s="32">
        <f t="shared" ref="N14" si="8">+M14+L14</f>
        <v>849.97317599999997</v>
      </c>
      <c r="O14" s="9"/>
      <c r="P14" s="37" t="s">
        <v>186</v>
      </c>
      <c r="Q14" s="152" t="s">
        <v>184</v>
      </c>
      <c r="R14" s="23" t="s">
        <v>179</v>
      </c>
      <c r="S14" s="69">
        <v>80</v>
      </c>
      <c r="T14" s="70">
        <v>12000</v>
      </c>
      <c r="U14" s="71">
        <f t="shared" si="0"/>
        <v>1320</v>
      </c>
      <c r="V14" s="71">
        <f t="shared" si="1"/>
        <v>13320</v>
      </c>
      <c r="W14" s="24" t="s">
        <v>18</v>
      </c>
    </row>
    <row r="15" spans="1:25" ht="13.5" customHeight="1" x14ac:dyDescent="0.25">
      <c r="A15" s="115" t="s">
        <v>44</v>
      </c>
      <c r="B15" s="116" t="str">
        <f t="shared" si="2"/>
        <v>Plastik HD Ori</v>
      </c>
      <c r="C15" s="61" t="s">
        <v>106</v>
      </c>
      <c r="D15" s="186">
        <f t="shared" si="3"/>
        <v>20</v>
      </c>
      <c r="E15" s="186"/>
      <c r="F15" s="117">
        <f>+G6*2</f>
        <v>980</v>
      </c>
      <c r="G15" s="118" t="s">
        <v>17</v>
      </c>
      <c r="H15" s="117">
        <f>+F6+150+30</f>
        <v>900</v>
      </c>
      <c r="I15" s="119">
        <f>+IF(D15&gt;0,(1000/(5200/(F15/2)/H15/(D15/100000))),0)</f>
        <v>16.961538461538463</v>
      </c>
      <c r="J15" s="120" t="s">
        <v>27</v>
      </c>
      <c r="K15" s="116">
        <f t="shared" si="4"/>
        <v>25500</v>
      </c>
      <c r="L15" s="121">
        <f t="shared" si="7"/>
        <v>432.51923076923083</v>
      </c>
      <c r="M15" s="121">
        <f t="shared" si="5"/>
        <v>47.577115384615389</v>
      </c>
      <c r="N15" s="122">
        <f t="shared" ref="N15:N20" si="9">+M15+L15</f>
        <v>480.09634615384624</v>
      </c>
      <c r="O15" s="9"/>
      <c r="P15" s="37" t="s">
        <v>187</v>
      </c>
      <c r="Q15" s="23" t="s">
        <v>185</v>
      </c>
      <c r="R15" s="23" t="s">
        <v>179</v>
      </c>
      <c r="S15" s="69">
        <v>80</v>
      </c>
      <c r="T15" s="82">
        <v>9000</v>
      </c>
      <c r="U15" s="71">
        <f t="shared" si="0"/>
        <v>990</v>
      </c>
      <c r="V15" s="71">
        <f t="shared" si="1"/>
        <v>9990</v>
      </c>
      <c r="W15" s="24" t="s">
        <v>18</v>
      </c>
    </row>
    <row r="16" spans="1:25" ht="13.5" customHeight="1" x14ac:dyDescent="0.25">
      <c r="A16" s="15" t="s">
        <v>45</v>
      </c>
      <c r="B16" s="3">
        <f t="shared" si="2"/>
        <v>0</v>
      </c>
      <c r="C16" s="61">
        <v>0</v>
      </c>
      <c r="D16" s="185">
        <f t="shared" si="3"/>
        <v>0</v>
      </c>
      <c r="E16" s="185"/>
      <c r="F16" s="34">
        <v>0</v>
      </c>
      <c r="G16" s="5" t="s">
        <v>17</v>
      </c>
      <c r="H16" s="34">
        <v>0</v>
      </c>
      <c r="I16" s="36">
        <f>(F16*H16*D16)/1000000</f>
        <v>0</v>
      </c>
      <c r="J16" s="2" t="s">
        <v>27</v>
      </c>
      <c r="K16" s="3">
        <f t="shared" si="4"/>
        <v>0</v>
      </c>
      <c r="L16" s="4">
        <f t="shared" si="7"/>
        <v>0</v>
      </c>
      <c r="M16" s="4">
        <f t="shared" si="5"/>
        <v>0</v>
      </c>
      <c r="N16" s="32">
        <f t="shared" si="9"/>
        <v>0</v>
      </c>
      <c r="P16" s="37" t="s">
        <v>48</v>
      </c>
      <c r="Q16" s="152" t="s">
        <v>39</v>
      </c>
      <c r="R16" s="23" t="s">
        <v>183</v>
      </c>
      <c r="S16" s="69">
        <v>80</v>
      </c>
      <c r="T16" s="63">
        <f>22000+500</f>
        <v>22500</v>
      </c>
      <c r="U16" s="71">
        <f t="shared" si="0"/>
        <v>2475</v>
      </c>
      <c r="V16" s="71">
        <f t="shared" si="1"/>
        <v>24975</v>
      </c>
      <c r="W16" s="24" t="s">
        <v>18</v>
      </c>
    </row>
    <row r="17" spans="1:23" ht="13.5" customHeight="1" x14ac:dyDescent="0.25">
      <c r="A17" s="15" t="s">
        <v>46</v>
      </c>
      <c r="B17" s="3" t="str">
        <f t="shared" si="2"/>
        <v>Canfor HP Ex White</v>
      </c>
      <c r="C17" s="61" t="str">
        <f>+$C$11</f>
        <v>CF7</v>
      </c>
      <c r="D17" s="185">
        <f t="shared" si="3"/>
        <v>70</v>
      </c>
      <c r="E17" s="185"/>
      <c r="F17" s="34">
        <f>+$G$6+60</f>
        <v>550</v>
      </c>
      <c r="G17" s="5" t="s">
        <v>17</v>
      </c>
      <c r="H17" s="34">
        <f>70*2</f>
        <v>140</v>
      </c>
      <c r="I17" s="36">
        <f>(F17*H17*D17)/1000000</f>
        <v>5.39</v>
      </c>
      <c r="J17" s="2" t="s">
        <v>27</v>
      </c>
      <c r="K17" s="3">
        <f t="shared" si="4"/>
        <v>22200</v>
      </c>
      <c r="L17" s="4">
        <f t="shared" si="7"/>
        <v>119.658</v>
      </c>
      <c r="M17" s="4">
        <f t="shared" si="5"/>
        <v>13.162380000000001</v>
      </c>
      <c r="N17" s="32">
        <f t="shared" si="9"/>
        <v>132.82038</v>
      </c>
      <c r="P17" s="37"/>
      <c r="Q17" s="152"/>
      <c r="R17" s="23"/>
      <c r="S17" s="69"/>
      <c r="T17" s="70"/>
      <c r="U17" s="71"/>
      <c r="V17" s="71"/>
      <c r="W17" s="24"/>
    </row>
    <row r="18" spans="1:23" ht="13.5" customHeight="1" x14ac:dyDescent="0.25">
      <c r="A18" s="15" t="s">
        <v>51</v>
      </c>
      <c r="B18" s="3" t="str">
        <f t="shared" si="2"/>
        <v>Canfor HP Ex White</v>
      </c>
      <c r="C18" s="61" t="str">
        <f>+$C$11</f>
        <v>CF7</v>
      </c>
      <c r="D18" s="185">
        <f t="shared" si="3"/>
        <v>70</v>
      </c>
      <c r="E18" s="185"/>
      <c r="F18" s="34">
        <f>+G6-H6</f>
        <v>370</v>
      </c>
      <c r="G18" s="5" t="s">
        <v>17</v>
      </c>
      <c r="H18" s="34">
        <f>+H6-10</f>
        <v>110</v>
      </c>
      <c r="I18" s="36">
        <f>(F18*H18*D18)/1000000</f>
        <v>2.8490000000000002</v>
      </c>
      <c r="J18" s="2" t="s">
        <v>27</v>
      </c>
      <c r="K18" s="3">
        <f t="shared" si="4"/>
        <v>22200</v>
      </c>
      <c r="L18" s="4">
        <f t="shared" si="7"/>
        <v>63.247800000000005</v>
      </c>
      <c r="M18" s="4">
        <f t="shared" si="5"/>
        <v>6.9572580000000004</v>
      </c>
      <c r="N18" s="32">
        <f t="shared" si="9"/>
        <v>70.205058000000008</v>
      </c>
      <c r="O18" s="9"/>
      <c r="P18" s="37"/>
      <c r="Q18" s="23"/>
      <c r="R18" s="23"/>
      <c r="S18" s="69"/>
      <c r="T18" s="82"/>
      <c r="U18" s="71"/>
      <c r="V18" s="71"/>
      <c r="W18" s="24"/>
    </row>
    <row r="19" spans="1:23" ht="13.5" customHeight="1" x14ac:dyDescent="0.25">
      <c r="A19" s="15" t="s">
        <v>176</v>
      </c>
      <c r="B19" s="3" t="str">
        <f t="shared" si="2"/>
        <v>Sack Kraft Limbah Kecil</v>
      </c>
      <c r="C19" s="61" t="s">
        <v>187</v>
      </c>
      <c r="D19" s="185">
        <f t="shared" si="3"/>
        <v>80</v>
      </c>
      <c r="E19" s="185"/>
      <c r="F19" s="34">
        <f>+$G$6-$H$6-50</f>
        <v>320</v>
      </c>
      <c r="G19" s="5" t="s">
        <v>17</v>
      </c>
      <c r="H19" s="34">
        <f>+$H$6</f>
        <v>120</v>
      </c>
      <c r="I19" s="36">
        <f>(F19*H19*D19)/1000000</f>
        <v>3.0720000000000001</v>
      </c>
      <c r="J19" s="2" t="s">
        <v>27</v>
      </c>
      <c r="K19" s="3">
        <f t="shared" si="4"/>
        <v>9000</v>
      </c>
      <c r="L19" s="4">
        <f t="shared" si="7"/>
        <v>27.648</v>
      </c>
      <c r="M19" s="4">
        <f t="shared" si="5"/>
        <v>3.04128</v>
      </c>
      <c r="N19" s="32">
        <f t="shared" si="9"/>
        <v>30.68928</v>
      </c>
      <c r="O19" s="9"/>
      <c r="P19" s="37"/>
      <c r="Q19" s="152"/>
      <c r="R19" s="23"/>
      <c r="S19" s="69"/>
      <c r="T19" s="63"/>
      <c r="U19" s="71"/>
      <c r="V19" s="71"/>
      <c r="W19" s="24"/>
    </row>
    <row r="20" spans="1:23" ht="13.5" customHeight="1" x14ac:dyDescent="0.25">
      <c r="A20" s="15" t="s">
        <v>40</v>
      </c>
      <c r="B20" s="3" t="str">
        <f t="shared" si="2"/>
        <v>Mixing</v>
      </c>
      <c r="C20" s="61" t="s">
        <v>40</v>
      </c>
      <c r="D20" s="158">
        <f t="shared" si="3"/>
        <v>0</v>
      </c>
      <c r="E20" s="159"/>
      <c r="F20" s="5"/>
      <c r="G20" s="5"/>
      <c r="H20" s="5"/>
      <c r="I20" s="2">
        <v>0</v>
      </c>
      <c r="J20" s="2" t="s">
        <v>27</v>
      </c>
      <c r="K20" s="3">
        <v>0</v>
      </c>
      <c r="L20" s="4">
        <f>(450*28000+120*8560+520*8400)/(320000+128000)+((450*28000+120*8560+520*8400)/(320000+128000)*20/100)</f>
        <v>48.201428571428572</v>
      </c>
      <c r="M20" s="4">
        <f t="shared" si="5"/>
        <v>5.3021571428571432</v>
      </c>
      <c r="N20" s="32">
        <f t="shared" si="9"/>
        <v>53.503585714285713</v>
      </c>
      <c r="O20" s="9"/>
      <c r="P20" s="37"/>
      <c r="Q20" s="152"/>
      <c r="R20" s="23"/>
      <c r="S20" s="69"/>
      <c r="T20" s="69"/>
      <c r="U20" s="71"/>
      <c r="V20" s="71"/>
      <c r="W20" s="24"/>
    </row>
    <row r="21" spans="1:23" ht="13.5" customHeight="1" thickBot="1" x14ac:dyDescent="0.3">
      <c r="A21" s="169" t="s">
        <v>12</v>
      </c>
      <c r="B21" s="170"/>
      <c r="C21" s="170"/>
      <c r="D21" s="170"/>
      <c r="E21" s="170"/>
      <c r="F21" s="170"/>
      <c r="G21" s="170"/>
      <c r="H21" s="171"/>
      <c r="I21" s="126">
        <f>+SUM(I11:I20)</f>
        <v>260.12813846153847</v>
      </c>
      <c r="J21" s="125"/>
      <c r="K21" s="125"/>
      <c r="L21" s="40">
        <f>SUM(L11:L20)</f>
        <v>4212.7404593406591</v>
      </c>
      <c r="M21" s="40">
        <f>SUM(M11:M20)</f>
        <v>463.40145052747255</v>
      </c>
      <c r="N21" s="41">
        <f>SUM(N11:N20)</f>
        <v>4676.1419098681308</v>
      </c>
      <c r="O21" s="9"/>
      <c r="P21" s="37" t="s">
        <v>40</v>
      </c>
      <c r="Q21" s="23" t="s">
        <v>149</v>
      </c>
      <c r="R21" s="23" t="s">
        <v>49</v>
      </c>
      <c r="S21" s="69">
        <v>0</v>
      </c>
      <c r="T21" s="82">
        <v>10250</v>
      </c>
      <c r="U21" s="71">
        <f t="shared" ref="U21:U22" si="10">+T21*0.11</f>
        <v>1127.5</v>
      </c>
      <c r="V21" s="71">
        <f t="shared" ref="V21:V22" si="11">+U21+T21</f>
        <v>11377.5</v>
      </c>
      <c r="W21" s="24" t="s">
        <v>18</v>
      </c>
    </row>
    <row r="22" spans="1:23" ht="13.5" customHeight="1" thickTop="1" thickBo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6"/>
      <c r="O22" s="9"/>
      <c r="P22" s="37" t="s">
        <v>38</v>
      </c>
      <c r="Q22" s="152" t="s">
        <v>53</v>
      </c>
      <c r="R22" s="23" t="s">
        <v>53</v>
      </c>
      <c r="S22" s="69">
        <v>20</v>
      </c>
      <c r="T22" s="63">
        <v>13000</v>
      </c>
      <c r="U22" s="71">
        <f t="shared" si="10"/>
        <v>1430</v>
      </c>
      <c r="V22" s="71">
        <f t="shared" si="11"/>
        <v>14430</v>
      </c>
      <c r="W22" s="24" t="s">
        <v>18</v>
      </c>
    </row>
    <row r="23" spans="1:23" ht="13.5" customHeight="1" thickTop="1" x14ac:dyDescent="0.25">
      <c r="A23" s="165" t="s">
        <v>19</v>
      </c>
      <c r="B23" s="166"/>
      <c r="C23" s="166"/>
      <c r="D23" s="166"/>
      <c r="E23" s="166"/>
      <c r="F23" s="166" t="s">
        <v>9</v>
      </c>
      <c r="G23" s="166"/>
      <c r="H23" s="166"/>
      <c r="I23" s="21" t="s">
        <v>6</v>
      </c>
      <c r="J23" s="21" t="s">
        <v>10</v>
      </c>
      <c r="K23" s="21" t="s">
        <v>11</v>
      </c>
      <c r="L23" s="21" t="s">
        <v>12</v>
      </c>
      <c r="M23" s="21" t="s">
        <v>24</v>
      </c>
      <c r="N23" s="22" t="s">
        <v>25</v>
      </c>
      <c r="O23" s="9"/>
      <c r="P23" s="37" t="s">
        <v>127</v>
      </c>
      <c r="Q23" s="152" t="s">
        <v>104</v>
      </c>
      <c r="R23" s="23" t="s">
        <v>178</v>
      </c>
      <c r="S23" s="69">
        <v>15</v>
      </c>
      <c r="T23" s="84">
        <v>26000</v>
      </c>
      <c r="U23" s="71">
        <f>+T23*0.11</f>
        <v>2860</v>
      </c>
      <c r="V23" s="71">
        <f>+U23+T23</f>
        <v>28860</v>
      </c>
      <c r="W23" s="24" t="s">
        <v>18</v>
      </c>
    </row>
    <row r="24" spans="1:23" ht="13.5" customHeight="1" x14ac:dyDescent="0.25">
      <c r="A24" s="163" t="s">
        <v>169</v>
      </c>
      <c r="B24" s="164"/>
      <c r="C24" s="164"/>
      <c r="D24" s="164"/>
      <c r="E24" s="164"/>
      <c r="F24" s="164"/>
      <c r="G24" s="164"/>
      <c r="H24" s="164"/>
      <c r="I24" s="5">
        <v>1</v>
      </c>
      <c r="J24" s="2" t="s">
        <v>20</v>
      </c>
      <c r="K24" s="62">
        <v>530</v>
      </c>
      <c r="L24" s="7">
        <f>K24*I24</f>
        <v>530</v>
      </c>
      <c r="M24" s="7">
        <f>+L24*0.11</f>
        <v>58.3</v>
      </c>
      <c r="N24" s="30">
        <f>+M24+L24</f>
        <v>588.29999999999995</v>
      </c>
      <c r="O24" s="9"/>
      <c r="P24" s="37" t="s">
        <v>105</v>
      </c>
      <c r="Q24" s="23" t="s">
        <v>103</v>
      </c>
      <c r="R24" s="23" t="s">
        <v>177</v>
      </c>
      <c r="S24" s="69">
        <v>15</v>
      </c>
      <c r="T24" s="83">
        <v>25500</v>
      </c>
      <c r="U24" s="71">
        <f t="shared" ref="U24:U66" si="12">+T24*0.11</f>
        <v>2805</v>
      </c>
      <c r="V24" s="71">
        <f t="shared" ref="V24:V66" si="13">+U24+T24</f>
        <v>28305</v>
      </c>
      <c r="W24" s="24" t="s">
        <v>18</v>
      </c>
    </row>
    <row r="25" spans="1:23" ht="13.5" customHeight="1" x14ac:dyDescent="0.25">
      <c r="A25" s="163" t="s">
        <v>170</v>
      </c>
      <c r="B25" s="164"/>
      <c r="C25" s="164"/>
      <c r="D25" s="164"/>
      <c r="E25" s="164"/>
      <c r="F25" s="164"/>
      <c r="G25" s="164"/>
      <c r="H25" s="164"/>
      <c r="I25" s="5">
        <v>1</v>
      </c>
      <c r="J25" s="2" t="s">
        <v>20</v>
      </c>
      <c r="K25" s="7">
        <f>IF($I$21&lt;200,Sheet3!Q2,(Sheet3!Q2+(($I$21-200)/200*Sheet3!Q2*0.25)))</f>
        <v>569.13956798428023</v>
      </c>
      <c r="L25" s="7">
        <f>K25*I25</f>
        <v>569.13956798428023</v>
      </c>
      <c r="M25" s="7">
        <f t="shared" ref="M25:M34" si="14">+L25*0.11</f>
        <v>62.605352478270824</v>
      </c>
      <c r="N25" s="30">
        <f>+M25+L25</f>
        <v>631.74492046255102</v>
      </c>
      <c r="O25" s="9"/>
      <c r="P25" s="37" t="s">
        <v>106</v>
      </c>
      <c r="Q25" s="23" t="s">
        <v>103</v>
      </c>
      <c r="R25" s="23" t="s">
        <v>177</v>
      </c>
      <c r="S25" s="69">
        <v>20</v>
      </c>
      <c r="T25" s="82">
        <f>+$T$24</f>
        <v>25500</v>
      </c>
      <c r="U25" s="71">
        <f t="shared" si="12"/>
        <v>2805</v>
      </c>
      <c r="V25" s="71">
        <f t="shared" si="13"/>
        <v>28305</v>
      </c>
      <c r="W25" s="24" t="s">
        <v>18</v>
      </c>
    </row>
    <row r="26" spans="1:23" ht="13.5" customHeight="1" x14ac:dyDescent="0.25">
      <c r="A26" s="163" t="s">
        <v>171</v>
      </c>
      <c r="B26" s="164"/>
      <c r="C26" s="164"/>
      <c r="D26" s="164"/>
      <c r="E26" s="164"/>
      <c r="F26" s="164"/>
      <c r="G26" s="164"/>
      <c r="H26" s="164"/>
      <c r="I26" s="5">
        <v>1</v>
      </c>
      <c r="J26" s="2" t="s">
        <v>20</v>
      </c>
      <c r="K26" s="7">
        <f>+IF(AND(F11&lt;1021,H11&lt;721),VLOOKUP(F8,$Q$73:$X$103,8,FALSE),IF(AND(F11&lt;1101,H11&lt;801),VLOOKUP(F8,$Q$108:$X$138,8,FALSE),VLOOKUP(F8,$Q$143:$Y$173,9,FALSE)))</f>
        <v>853.4544719999999</v>
      </c>
      <c r="L26" s="7">
        <f>K26*I26</f>
        <v>853.4544719999999</v>
      </c>
      <c r="M26" s="7">
        <f t="shared" si="14"/>
        <v>93.879991919999995</v>
      </c>
      <c r="N26" s="30">
        <f t="shared" ref="N26:N34" si="15">+M26+L26</f>
        <v>947.33446391999985</v>
      </c>
      <c r="O26" s="9"/>
      <c r="P26" s="37" t="s">
        <v>107</v>
      </c>
      <c r="Q26" s="23" t="s">
        <v>103</v>
      </c>
      <c r="R26" s="23" t="s">
        <v>177</v>
      </c>
      <c r="S26" s="69">
        <v>25</v>
      </c>
      <c r="T26" s="82">
        <f t="shared" ref="T26:T45" si="16">+$T$24</f>
        <v>25500</v>
      </c>
      <c r="U26" s="71">
        <f t="shared" si="12"/>
        <v>2805</v>
      </c>
      <c r="V26" s="71">
        <f t="shared" si="13"/>
        <v>28305</v>
      </c>
      <c r="W26" s="24" t="s">
        <v>18</v>
      </c>
    </row>
    <row r="27" spans="1:23" ht="13.5" customHeight="1" x14ac:dyDescent="0.25">
      <c r="A27" s="163" t="s">
        <v>172</v>
      </c>
      <c r="B27" s="164"/>
      <c r="C27" s="164"/>
      <c r="D27" s="164"/>
      <c r="E27" s="164"/>
      <c r="F27" s="164"/>
      <c r="G27" s="164"/>
      <c r="H27" s="164"/>
      <c r="I27" s="5">
        <v>1</v>
      </c>
      <c r="J27" s="2" t="s">
        <v>20</v>
      </c>
      <c r="K27" s="67">
        <v>25</v>
      </c>
      <c r="L27" s="7">
        <f t="shared" ref="L27:L34" si="17">K27*I27</f>
        <v>25</v>
      </c>
      <c r="M27" s="7">
        <f t="shared" si="14"/>
        <v>2.75</v>
      </c>
      <c r="N27" s="30">
        <f t="shared" si="15"/>
        <v>27.75</v>
      </c>
      <c r="O27" s="9"/>
      <c r="P27" s="37" t="s">
        <v>108</v>
      </c>
      <c r="Q27" s="23" t="s">
        <v>103</v>
      </c>
      <c r="R27" s="23" t="s">
        <v>177</v>
      </c>
      <c r="S27" s="69">
        <v>30</v>
      </c>
      <c r="T27" s="82">
        <f t="shared" si="16"/>
        <v>25500</v>
      </c>
      <c r="U27" s="71">
        <f t="shared" si="12"/>
        <v>2805</v>
      </c>
      <c r="V27" s="71">
        <f t="shared" si="13"/>
        <v>28305</v>
      </c>
      <c r="W27" s="24" t="s">
        <v>18</v>
      </c>
    </row>
    <row r="28" spans="1:23" ht="13.5" customHeight="1" x14ac:dyDescent="0.25">
      <c r="A28" s="163" t="s">
        <v>173</v>
      </c>
      <c r="B28" s="164"/>
      <c r="C28" s="164"/>
      <c r="D28" s="164"/>
      <c r="E28" s="164"/>
      <c r="F28" s="164"/>
      <c r="G28" s="164"/>
      <c r="H28" s="164"/>
      <c r="I28" s="5">
        <v>1</v>
      </c>
      <c r="J28" s="2" t="s">
        <v>20</v>
      </c>
      <c r="K28" s="7">
        <f>IF($I$21&lt;200,Sheet3!Q3,(Sheet3!Q3+(($I$21-200)/200*Sheet3!Q3*0.25)))</f>
        <v>36.919501072289194</v>
      </c>
      <c r="L28" s="7">
        <f t="shared" si="17"/>
        <v>36.919501072289194</v>
      </c>
      <c r="M28" s="7">
        <f t="shared" si="14"/>
        <v>4.0611451179518117</v>
      </c>
      <c r="N28" s="30">
        <f t="shared" si="15"/>
        <v>40.980646190241004</v>
      </c>
      <c r="O28" s="9"/>
      <c r="P28" s="37" t="s">
        <v>109</v>
      </c>
      <c r="Q28" s="23" t="s">
        <v>103</v>
      </c>
      <c r="R28" s="23" t="s">
        <v>177</v>
      </c>
      <c r="S28" s="69">
        <v>35</v>
      </c>
      <c r="T28" s="82">
        <f t="shared" si="16"/>
        <v>25500</v>
      </c>
      <c r="U28" s="71">
        <f t="shared" si="12"/>
        <v>2805</v>
      </c>
      <c r="V28" s="71">
        <f t="shared" si="13"/>
        <v>28305</v>
      </c>
      <c r="W28" s="24" t="s">
        <v>18</v>
      </c>
    </row>
    <row r="29" spans="1:23" ht="13.5" customHeight="1" x14ac:dyDescent="0.25">
      <c r="A29" s="163" t="s">
        <v>150</v>
      </c>
      <c r="B29" s="164"/>
      <c r="C29" s="164"/>
      <c r="D29" s="164"/>
      <c r="E29" s="164"/>
      <c r="F29" s="164"/>
      <c r="G29" s="164"/>
      <c r="H29" s="164"/>
      <c r="I29" s="5">
        <v>1</v>
      </c>
      <c r="J29" s="2" t="s">
        <v>20</v>
      </c>
      <c r="K29" s="7">
        <f>IF($I$21&lt;200,Sheet3!Q4,(Sheet3!Q4+(($I$21-200)/200*Sheet3!Q4*0.25)))</f>
        <v>126.67662227382345</v>
      </c>
      <c r="L29" s="7">
        <f t="shared" si="17"/>
        <v>126.67662227382345</v>
      </c>
      <c r="M29" s="7">
        <f t="shared" si="14"/>
        <v>13.93442845012058</v>
      </c>
      <c r="N29" s="30">
        <f t="shared" si="15"/>
        <v>140.61105072394403</v>
      </c>
      <c r="O29" s="9"/>
      <c r="P29" s="37" t="s">
        <v>110</v>
      </c>
      <c r="Q29" s="23" t="s">
        <v>103</v>
      </c>
      <c r="R29" s="23" t="s">
        <v>177</v>
      </c>
      <c r="S29" s="69">
        <v>40</v>
      </c>
      <c r="T29" s="82">
        <f>+$T$24</f>
        <v>25500</v>
      </c>
      <c r="U29" s="71">
        <f t="shared" si="12"/>
        <v>2805</v>
      </c>
      <c r="V29" s="71">
        <f t="shared" si="13"/>
        <v>28305</v>
      </c>
      <c r="W29" s="24" t="s">
        <v>18</v>
      </c>
    </row>
    <row r="30" spans="1:23" ht="13.5" customHeight="1" x14ac:dyDescent="0.25">
      <c r="A30" s="163" t="s">
        <v>151</v>
      </c>
      <c r="B30" s="164"/>
      <c r="C30" s="164"/>
      <c r="D30" s="164"/>
      <c r="E30" s="164"/>
      <c r="F30" s="164"/>
      <c r="G30" s="164"/>
      <c r="H30" s="164"/>
      <c r="I30" s="5">
        <v>1</v>
      </c>
      <c r="J30" s="2" t="s">
        <v>20</v>
      </c>
      <c r="K30" s="67">
        <f>IF($I$21&lt;200,Sheet3!Q5,(Sheet3!Q5+(($I$21-200)/200*Sheet3!Q5*0.25)))</f>
        <v>84.539475129235896</v>
      </c>
      <c r="L30" s="7">
        <f t="shared" si="17"/>
        <v>84.539475129235896</v>
      </c>
      <c r="M30" s="7">
        <f t="shared" si="14"/>
        <v>9.299342264215948</v>
      </c>
      <c r="N30" s="30">
        <f t="shared" si="15"/>
        <v>93.838817393451848</v>
      </c>
      <c r="O30" s="9"/>
      <c r="P30" s="37" t="s">
        <v>111</v>
      </c>
      <c r="Q30" s="23" t="s">
        <v>103</v>
      </c>
      <c r="R30" s="23" t="s">
        <v>177</v>
      </c>
      <c r="S30" s="69">
        <v>45</v>
      </c>
      <c r="T30" s="82">
        <f t="shared" si="16"/>
        <v>25500</v>
      </c>
      <c r="U30" s="71">
        <f t="shared" si="12"/>
        <v>2805</v>
      </c>
      <c r="V30" s="71">
        <f t="shared" si="13"/>
        <v>28305</v>
      </c>
      <c r="W30" s="24" t="s">
        <v>18</v>
      </c>
    </row>
    <row r="31" spans="1:23" ht="13.5" customHeight="1" x14ac:dyDescent="0.25">
      <c r="A31" s="163" t="s">
        <v>208</v>
      </c>
      <c r="B31" s="164"/>
      <c r="C31" s="164"/>
      <c r="D31" s="164"/>
      <c r="E31" s="164"/>
      <c r="F31" s="164"/>
      <c r="G31" s="164"/>
      <c r="H31" s="164"/>
      <c r="I31" s="5">
        <v>1</v>
      </c>
      <c r="J31" s="2" t="s">
        <v>20</v>
      </c>
      <c r="K31" s="7">
        <f>IF($I$21&lt;200,Sheet3!Q7,(Sheet3!Q7+(($I$21-200)/200*Sheet3!Q7*0.25)))</f>
        <v>126.80937217813947</v>
      </c>
      <c r="L31" s="7">
        <f t="shared" si="17"/>
        <v>126.80937217813947</v>
      </c>
      <c r="M31" s="7">
        <f t="shared" si="14"/>
        <v>13.949030939595342</v>
      </c>
      <c r="N31" s="30">
        <f t="shared" si="15"/>
        <v>140.75840311773482</v>
      </c>
      <c r="O31" s="9"/>
      <c r="P31" s="37" t="s">
        <v>112</v>
      </c>
      <c r="Q31" s="23" t="s">
        <v>103</v>
      </c>
      <c r="R31" s="23" t="s">
        <v>177</v>
      </c>
      <c r="S31" s="69">
        <v>50</v>
      </c>
      <c r="T31" s="82">
        <f t="shared" si="16"/>
        <v>25500</v>
      </c>
      <c r="U31" s="71">
        <f t="shared" si="12"/>
        <v>2805</v>
      </c>
      <c r="V31" s="71">
        <f t="shared" si="13"/>
        <v>28305</v>
      </c>
      <c r="W31" s="24" t="s">
        <v>18</v>
      </c>
    </row>
    <row r="32" spans="1:23" ht="13.5" customHeight="1" x14ac:dyDescent="0.25">
      <c r="A32" s="163" t="s">
        <v>152</v>
      </c>
      <c r="B32" s="164"/>
      <c r="C32" s="164"/>
      <c r="D32" s="164"/>
      <c r="E32" s="164"/>
      <c r="F32" s="164"/>
      <c r="G32" s="164"/>
      <c r="H32" s="164"/>
      <c r="I32" s="5">
        <v>1</v>
      </c>
      <c r="J32" s="2" t="s">
        <v>20</v>
      </c>
      <c r="K32" s="7">
        <v>32</v>
      </c>
      <c r="L32" s="7">
        <f t="shared" si="17"/>
        <v>32</v>
      </c>
      <c r="M32" s="7">
        <f t="shared" si="14"/>
        <v>3.52</v>
      </c>
      <c r="N32" s="30">
        <f t="shared" si="15"/>
        <v>35.520000000000003</v>
      </c>
      <c r="O32" s="9"/>
      <c r="P32" s="37" t="s">
        <v>113</v>
      </c>
      <c r="Q32" s="23" t="s">
        <v>103</v>
      </c>
      <c r="R32" s="23" t="s">
        <v>177</v>
      </c>
      <c r="S32" s="69">
        <v>55</v>
      </c>
      <c r="T32" s="82">
        <f t="shared" si="16"/>
        <v>25500</v>
      </c>
      <c r="U32" s="71">
        <f t="shared" si="12"/>
        <v>2805</v>
      </c>
      <c r="V32" s="71">
        <f t="shared" si="13"/>
        <v>28305</v>
      </c>
      <c r="W32" s="24" t="s">
        <v>18</v>
      </c>
    </row>
    <row r="33" spans="1:27" ht="13.5" customHeight="1" x14ac:dyDescent="0.25">
      <c r="A33" s="163" t="s">
        <v>174</v>
      </c>
      <c r="B33" s="164"/>
      <c r="C33" s="164"/>
      <c r="D33" s="164"/>
      <c r="E33" s="164"/>
      <c r="F33" s="164"/>
      <c r="G33" s="164"/>
      <c r="H33" s="164"/>
      <c r="I33" s="5">
        <v>1</v>
      </c>
      <c r="J33" s="2" t="s">
        <v>20</v>
      </c>
      <c r="K33" s="62">
        <v>200</v>
      </c>
      <c r="L33" s="7">
        <f t="shared" si="17"/>
        <v>200</v>
      </c>
      <c r="M33" s="7">
        <f t="shared" si="14"/>
        <v>22</v>
      </c>
      <c r="N33" s="30">
        <f t="shared" si="15"/>
        <v>222</v>
      </c>
      <c r="O33" s="9"/>
      <c r="P33" s="37" t="s">
        <v>114</v>
      </c>
      <c r="Q33" s="23" t="s">
        <v>103</v>
      </c>
      <c r="R33" s="23" t="s">
        <v>177</v>
      </c>
      <c r="S33" s="69">
        <v>60</v>
      </c>
      <c r="T33" s="82">
        <f t="shared" si="16"/>
        <v>25500</v>
      </c>
      <c r="U33" s="71">
        <f t="shared" si="12"/>
        <v>2805</v>
      </c>
      <c r="V33" s="71">
        <f t="shared" si="13"/>
        <v>28305</v>
      </c>
      <c r="W33" s="24" t="s">
        <v>18</v>
      </c>
    </row>
    <row r="34" spans="1:27" ht="13.5" customHeight="1" x14ac:dyDescent="0.25">
      <c r="A34" s="163" t="s">
        <v>175</v>
      </c>
      <c r="B34" s="164"/>
      <c r="C34" s="164"/>
      <c r="D34" s="164"/>
      <c r="E34" s="164"/>
      <c r="F34" s="164"/>
      <c r="G34" s="164"/>
      <c r="H34" s="164"/>
      <c r="I34" s="5">
        <v>1</v>
      </c>
      <c r="J34" s="2" t="s">
        <v>20</v>
      </c>
      <c r="K34" s="62">
        <v>65</v>
      </c>
      <c r="L34" s="7">
        <f t="shared" si="17"/>
        <v>65</v>
      </c>
      <c r="M34" s="7">
        <f t="shared" si="14"/>
        <v>7.15</v>
      </c>
      <c r="N34" s="30">
        <f t="shared" si="15"/>
        <v>72.150000000000006</v>
      </c>
      <c r="O34" s="6"/>
      <c r="P34" s="37" t="s">
        <v>115</v>
      </c>
      <c r="Q34" s="23" t="s">
        <v>103</v>
      </c>
      <c r="R34" s="23" t="s">
        <v>177</v>
      </c>
      <c r="S34" s="69">
        <v>65</v>
      </c>
      <c r="T34" s="82">
        <f t="shared" si="16"/>
        <v>25500</v>
      </c>
      <c r="U34" s="71">
        <f t="shared" si="12"/>
        <v>2805</v>
      </c>
      <c r="V34" s="71">
        <f t="shared" si="13"/>
        <v>28305</v>
      </c>
      <c r="W34" s="24" t="s">
        <v>18</v>
      </c>
    </row>
    <row r="35" spans="1:27" ht="13.5" customHeight="1" x14ac:dyDescent="0.25">
      <c r="A35" s="167" t="s">
        <v>12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8">
        <f>SUM(L24:L34)</f>
        <v>2649.5390106377681</v>
      </c>
      <c r="M35" s="8">
        <f>SUM(M24:M34)</f>
        <v>291.44929117015442</v>
      </c>
      <c r="N35" s="31">
        <f>SUM(N24:N34)</f>
        <v>2940.9883018079227</v>
      </c>
      <c r="P35" s="37" t="s">
        <v>116</v>
      </c>
      <c r="Q35" s="23" t="s">
        <v>103</v>
      </c>
      <c r="R35" s="23" t="s">
        <v>177</v>
      </c>
      <c r="S35" s="69">
        <v>70</v>
      </c>
      <c r="T35" s="82">
        <f t="shared" si="16"/>
        <v>25500</v>
      </c>
      <c r="U35" s="71">
        <f t="shared" si="12"/>
        <v>2805</v>
      </c>
      <c r="V35" s="71">
        <f t="shared" si="13"/>
        <v>28305</v>
      </c>
      <c r="W35" s="24" t="s">
        <v>18</v>
      </c>
      <c r="AA35" s="18"/>
    </row>
    <row r="36" spans="1:27" ht="13.5" customHeight="1" x14ac:dyDescent="0.25">
      <c r="A36" s="161" t="s">
        <v>89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03">
        <f>L35+L21</f>
        <v>6862.2794699784272</v>
      </c>
      <c r="M36" s="110"/>
      <c r="N36" s="111">
        <f t="shared" ref="N36:N41" si="18">(L36*11%)+L36</f>
        <v>7617.1302116760544</v>
      </c>
      <c r="O36" s="11"/>
      <c r="P36" s="37" t="s">
        <v>117</v>
      </c>
      <c r="Q36" s="23" t="s">
        <v>103</v>
      </c>
      <c r="R36" s="23" t="s">
        <v>177</v>
      </c>
      <c r="S36" s="69">
        <v>75</v>
      </c>
      <c r="T36" s="82">
        <f t="shared" si="16"/>
        <v>25500</v>
      </c>
      <c r="U36" s="71">
        <f t="shared" si="12"/>
        <v>2805</v>
      </c>
      <c r="V36" s="71">
        <f t="shared" si="13"/>
        <v>28305</v>
      </c>
      <c r="W36" s="24" t="s">
        <v>18</v>
      </c>
    </row>
    <row r="37" spans="1:27" ht="13.5" customHeight="1" x14ac:dyDescent="0.25">
      <c r="A37" s="167" t="s">
        <v>91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05">
        <f>+L40-L36</f>
        <v>-1362.2794699784272</v>
      </c>
      <c r="M37" s="74"/>
      <c r="N37" s="80">
        <f t="shared" si="18"/>
        <v>-1512.1302116760542</v>
      </c>
      <c r="O37" s="12"/>
      <c r="P37" s="37" t="s">
        <v>118</v>
      </c>
      <c r="Q37" s="23" t="s">
        <v>103</v>
      </c>
      <c r="R37" s="23" t="s">
        <v>177</v>
      </c>
      <c r="S37" s="69">
        <v>80</v>
      </c>
      <c r="T37" s="82">
        <f t="shared" si="16"/>
        <v>25500</v>
      </c>
      <c r="U37" s="71">
        <f t="shared" si="12"/>
        <v>2805</v>
      </c>
      <c r="V37" s="71">
        <f t="shared" si="13"/>
        <v>28305</v>
      </c>
      <c r="W37" s="24" t="s">
        <v>18</v>
      </c>
    </row>
    <row r="38" spans="1:27" ht="13.5" customHeight="1" x14ac:dyDescent="0.25">
      <c r="A38" s="161" t="s">
        <v>88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04">
        <f>+IF(L37&lt;=300,L36+L37,IF(L37&lt;=430,L36+300,IF(L37&gt;430,L36+L37*70/100,0)))</f>
        <v>5500</v>
      </c>
      <c r="M38" s="110"/>
      <c r="N38" s="111">
        <f t="shared" si="18"/>
        <v>6105</v>
      </c>
      <c r="O38" s="12"/>
      <c r="P38" s="37" t="s">
        <v>119</v>
      </c>
      <c r="Q38" s="23" t="s">
        <v>103</v>
      </c>
      <c r="R38" s="23" t="s">
        <v>177</v>
      </c>
      <c r="S38" s="69">
        <v>85</v>
      </c>
      <c r="T38" s="82">
        <f t="shared" si="16"/>
        <v>25500</v>
      </c>
      <c r="U38" s="71">
        <f t="shared" si="12"/>
        <v>2805</v>
      </c>
      <c r="V38" s="71">
        <f t="shared" si="13"/>
        <v>28305</v>
      </c>
      <c r="W38" s="24" t="s">
        <v>18</v>
      </c>
    </row>
    <row r="39" spans="1:27" ht="13.5" customHeight="1" x14ac:dyDescent="0.25">
      <c r="A39" s="167" t="s">
        <v>197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75">
        <f>+L38-L36</f>
        <v>-1362.2794699784272</v>
      </c>
      <c r="M39" s="74"/>
      <c r="N39" s="80">
        <f t="shared" si="18"/>
        <v>-1512.1302116760542</v>
      </c>
      <c r="O39" s="12"/>
      <c r="P39" s="37" t="s">
        <v>120</v>
      </c>
      <c r="Q39" s="23" t="s">
        <v>103</v>
      </c>
      <c r="R39" s="23" t="s">
        <v>177</v>
      </c>
      <c r="S39" s="69">
        <v>90</v>
      </c>
      <c r="T39" s="82">
        <f t="shared" si="16"/>
        <v>25500</v>
      </c>
      <c r="U39" s="71">
        <f t="shared" si="12"/>
        <v>2805</v>
      </c>
      <c r="V39" s="71">
        <f t="shared" si="13"/>
        <v>28305</v>
      </c>
      <c r="W39" s="24" t="s">
        <v>18</v>
      </c>
    </row>
    <row r="40" spans="1:27" ht="13.5" customHeight="1" x14ac:dyDescent="0.25">
      <c r="A40" s="161" t="s">
        <v>90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07">
        <v>5500</v>
      </c>
      <c r="M40" s="113"/>
      <c r="N40" s="111">
        <f t="shared" si="18"/>
        <v>6105</v>
      </c>
      <c r="O40" s="12"/>
      <c r="P40" s="37" t="s">
        <v>121</v>
      </c>
      <c r="Q40" s="23" t="s">
        <v>103</v>
      </c>
      <c r="R40" s="23" t="s">
        <v>177</v>
      </c>
      <c r="S40" s="69">
        <v>95</v>
      </c>
      <c r="T40" s="82">
        <f t="shared" si="16"/>
        <v>25500</v>
      </c>
      <c r="U40" s="71">
        <f t="shared" si="12"/>
        <v>2805</v>
      </c>
      <c r="V40" s="71">
        <f t="shared" si="13"/>
        <v>28305</v>
      </c>
      <c r="W40" s="24" t="s">
        <v>18</v>
      </c>
    </row>
    <row r="41" spans="1:27" ht="13.5" customHeight="1" x14ac:dyDescent="0.25">
      <c r="A41" s="167" t="s">
        <v>198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06">
        <f>+L40-L38</f>
        <v>0</v>
      </c>
      <c r="M41" s="76"/>
      <c r="N41" s="80">
        <f t="shared" si="18"/>
        <v>0</v>
      </c>
      <c r="O41" s="12"/>
      <c r="P41" s="37" t="s">
        <v>122</v>
      </c>
      <c r="Q41" s="23" t="s">
        <v>103</v>
      </c>
      <c r="R41" s="23" t="s">
        <v>177</v>
      </c>
      <c r="S41" s="69">
        <v>100</v>
      </c>
      <c r="T41" s="82">
        <f t="shared" si="16"/>
        <v>25500</v>
      </c>
      <c r="U41" s="71">
        <f t="shared" si="12"/>
        <v>2805</v>
      </c>
      <c r="V41" s="71">
        <f t="shared" si="13"/>
        <v>28305</v>
      </c>
      <c r="W41" s="24" t="s">
        <v>18</v>
      </c>
    </row>
    <row r="42" spans="1:27" ht="13.5" customHeight="1" x14ac:dyDescent="0.25">
      <c r="A42" s="161" t="s">
        <v>23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07">
        <v>0</v>
      </c>
      <c r="M42" s="112"/>
      <c r="N42" s="111">
        <f t="shared" ref="N42" si="19">(L42*11%)+L42</f>
        <v>0</v>
      </c>
      <c r="O42" s="12"/>
      <c r="P42" s="37" t="s">
        <v>123</v>
      </c>
      <c r="Q42" s="23" t="s">
        <v>103</v>
      </c>
      <c r="R42" s="23" t="s">
        <v>177</v>
      </c>
      <c r="S42" s="69">
        <v>105</v>
      </c>
      <c r="T42" s="82">
        <f t="shared" si="16"/>
        <v>25500</v>
      </c>
      <c r="U42" s="71">
        <f t="shared" si="12"/>
        <v>2805</v>
      </c>
      <c r="V42" s="71">
        <f t="shared" si="13"/>
        <v>28305</v>
      </c>
      <c r="W42" s="24" t="s">
        <v>18</v>
      </c>
    </row>
    <row r="43" spans="1:27" ht="13.5" customHeight="1" x14ac:dyDescent="0.25">
      <c r="A43" s="167" t="s">
        <v>37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77">
        <f>+L42+L40</f>
        <v>5500</v>
      </c>
      <c r="M43" s="75"/>
      <c r="N43" s="80">
        <f>(L43*11%)+L43</f>
        <v>6105</v>
      </c>
      <c r="O43" s="12"/>
      <c r="P43" s="37" t="s">
        <v>124</v>
      </c>
      <c r="Q43" s="23" t="s">
        <v>103</v>
      </c>
      <c r="R43" s="23" t="s">
        <v>177</v>
      </c>
      <c r="S43" s="69">
        <v>110</v>
      </c>
      <c r="T43" s="82">
        <f t="shared" si="16"/>
        <v>25500</v>
      </c>
      <c r="U43" s="71">
        <f t="shared" si="12"/>
        <v>2805</v>
      </c>
      <c r="V43" s="71">
        <f t="shared" si="13"/>
        <v>28305</v>
      </c>
      <c r="W43" s="24" t="s">
        <v>18</v>
      </c>
    </row>
    <row r="44" spans="1:27" ht="13.5" customHeight="1" x14ac:dyDescent="0.25">
      <c r="A44" s="161" t="s">
        <v>199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08">
        <f>+L39/L36</f>
        <v>-0.19851704902696271</v>
      </c>
      <c r="M44" s="104"/>
      <c r="N44" s="109">
        <f>+N39/N36</f>
        <v>-0.19851704902696271</v>
      </c>
      <c r="O44" s="12"/>
      <c r="P44" s="37" t="s">
        <v>125</v>
      </c>
      <c r="Q44" s="23" t="s">
        <v>103</v>
      </c>
      <c r="R44" s="23" t="s">
        <v>177</v>
      </c>
      <c r="S44" s="69">
        <v>115</v>
      </c>
      <c r="T44" s="82">
        <f t="shared" si="16"/>
        <v>25500</v>
      </c>
      <c r="U44" s="71">
        <f t="shared" si="12"/>
        <v>2805</v>
      </c>
      <c r="V44" s="71">
        <f t="shared" si="13"/>
        <v>28305</v>
      </c>
      <c r="W44" s="24" t="s">
        <v>18</v>
      </c>
    </row>
    <row r="45" spans="1:27" ht="15.75" thickBot="1" x14ac:dyDescent="0.3">
      <c r="A45" s="172" t="s">
        <v>200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78">
        <f>+L41/L38</f>
        <v>0</v>
      </c>
      <c r="M45" s="79"/>
      <c r="N45" s="81">
        <f>+N41/N38</f>
        <v>0</v>
      </c>
      <c r="O45" s="12"/>
      <c r="P45" s="37" t="s">
        <v>126</v>
      </c>
      <c r="Q45" s="23" t="s">
        <v>103</v>
      </c>
      <c r="R45" s="23" t="s">
        <v>177</v>
      </c>
      <c r="S45" s="69">
        <v>120</v>
      </c>
      <c r="T45" s="82">
        <f t="shared" si="16"/>
        <v>25500</v>
      </c>
      <c r="U45" s="71">
        <f t="shared" si="12"/>
        <v>2805</v>
      </c>
      <c r="V45" s="71">
        <f t="shared" si="13"/>
        <v>28305</v>
      </c>
      <c r="W45" s="24" t="s">
        <v>18</v>
      </c>
    </row>
    <row r="46" spans="1:27" ht="15.75" thickTop="1" x14ac:dyDescent="0.25">
      <c r="O46" s="12"/>
      <c r="P46" s="37" t="s">
        <v>128</v>
      </c>
      <c r="Q46" s="152" t="s">
        <v>104</v>
      </c>
      <c r="R46" s="23" t="s">
        <v>178</v>
      </c>
      <c r="S46" s="69">
        <v>20</v>
      </c>
      <c r="T46" s="63">
        <f>+$T$23</f>
        <v>26000</v>
      </c>
      <c r="U46" s="71">
        <f t="shared" si="12"/>
        <v>2860</v>
      </c>
      <c r="V46" s="71">
        <f t="shared" si="13"/>
        <v>28860</v>
      </c>
      <c r="W46" s="24" t="s">
        <v>18</v>
      </c>
    </row>
    <row r="47" spans="1:27" x14ac:dyDescent="0.25">
      <c r="O47" s="6"/>
      <c r="P47" s="37" t="s">
        <v>129</v>
      </c>
      <c r="Q47" s="152" t="s">
        <v>104</v>
      </c>
      <c r="R47" s="23" t="s">
        <v>178</v>
      </c>
      <c r="S47" s="69">
        <v>25</v>
      </c>
      <c r="T47" s="63">
        <f t="shared" ref="T47:T66" si="20">+$T$23</f>
        <v>26000</v>
      </c>
      <c r="U47" s="71">
        <f t="shared" si="12"/>
        <v>2860</v>
      </c>
      <c r="V47" s="71">
        <f t="shared" si="13"/>
        <v>28860</v>
      </c>
      <c r="W47" s="24" t="s">
        <v>18</v>
      </c>
    </row>
    <row r="48" spans="1:27" x14ac:dyDescent="0.25">
      <c r="O48" s="9"/>
      <c r="P48" s="37" t="s">
        <v>130</v>
      </c>
      <c r="Q48" s="152" t="s">
        <v>104</v>
      </c>
      <c r="R48" s="23" t="s">
        <v>178</v>
      </c>
      <c r="S48" s="69">
        <v>30</v>
      </c>
      <c r="T48" s="63">
        <f t="shared" si="20"/>
        <v>26000</v>
      </c>
      <c r="U48" s="71">
        <f t="shared" si="12"/>
        <v>2860</v>
      </c>
      <c r="V48" s="71">
        <f t="shared" si="13"/>
        <v>28860</v>
      </c>
      <c r="W48" s="24" t="s">
        <v>18</v>
      </c>
    </row>
    <row r="49" spans="15:23" x14ac:dyDescent="0.25">
      <c r="O49" s="9"/>
      <c r="P49" s="37" t="s">
        <v>131</v>
      </c>
      <c r="Q49" s="152" t="s">
        <v>104</v>
      </c>
      <c r="R49" s="23" t="s">
        <v>178</v>
      </c>
      <c r="S49" s="69">
        <v>35</v>
      </c>
      <c r="T49" s="63">
        <f t="shared" si="20"/>
        <v>26000</v>
      </c>
      <c r="U49" s="71">
        <f t="shared" si="12"/>
        <v>2860</v>
      </c>
      <c r="V49" s="71">
        <f t="shared" si="13"/>
        <v>28860</v>
      </c>
      <c r="W49" s="24" t="s">
        <v>18</v>
      </c>
    </row>
    <row r="50" spans="15:23" x14ac:dyDescent="0.25">
      <c r="O50" s="14"/>
      <c r="P50" s="37" t="s">
        <v>132</v>
      </c>
      <c r="Q50" s="152" t="s">
        <v>104</v>
      </c>
      <c r="R50" s="23" t="s">
        <v>178</v>
      </c>
      <c r="S50" s="69">
        <v>40</v>
      </c>
      <c r="T50" s="63">
        <f t="shared" si="20"/>
        <v>26000</v>
      </c>
      <c r="U50" s="71">
        <f t="shared" si="12"/>
        <v>2860</v>
      </c>
      <c r="V50" s="71">
        <f t="shared" si="13"/>
        <v>28860</v>
      </c>
      <c r="W50" s="24" t="s">
        <v>18</v>
      </c>
    </row>
    <row r="51" spans="15:23" x14ac:dyDescent="0.25">
      <c r="O51" s="9"/>
      <c r="P51" s="37" t="s">
        <v>133</v>
      </c>
      <c r="Q51" s="152" t="s">
        <v>104</v>
      </c>
      <c r="R51" s="23" t="s">
        <v>178</v>
      </c>
      <c r="S51" s="69">
        <v>45</v>
      </c>
      <c r="T51" s="63">
        <f t="shared" si="20"/>
        <v>26000</v>
      </c>
      <c r="U51" s="71">
        <f t="shared" si="12"/>
        <v>2860</v>
      </c>
      <c r="V51" s="71">
        <f t="shared" si="13"/>
        <v>28860</v>
      </c>
      <c r="W51" s="24" t="s">
        <v>18</v>
      </c>
    </row>
    <row r="52" spans="15:23" x14ac:dyDescent="0.25">
      <c r="O52" s="13"/>
      <c r="P52" s="37" t="s">
        <v>134</v>
      </c>
      <c r="Q52" s="152" t="s">
        <v>104</v>
      </c>
      <c r="R52" s="23" t="s">
        <v>178</v>
      </c>
      <c r="S52" s="69">
        <v>50</v>
      </c>
      <c r="T52" s="63">
        <f t="shared" si="20"/>
        <v>26000</v>
      </c>
      <c r="U52" s="71">
        <f t="shared" si="12"/>
        <v>2860</v>
      </c>
      <c r="V52" s="71">
        <f t="shared" si="13"/>
        <v>28860</v>
      </c>
      <c r="W52" s="24" t="s">
        <v>18</v>
      </c>
    </row>
    <row r="53" spans="15:23" x14ac:dyDescent="0.25">
      <c r="O53" s="14"/>
      <c r="P53" s="37" t="s">
        <v>135</v>
      </c>
      <c r="Q53" s="152" t="s">
        <v>104</v>
      </c>
      <c r="R53" s="23" t="s">
        <v>178</v>
      </c>
      <c r="S53" s="69">
        <v>55</v>
      </c>
      <c r="T53" s="63">
        <f t="shared" si="20"/>
        <v>26000</v>
      </c>
      <c r="U53" s="71">
        <f t="shared" si="12"/>
        <v>2860</v>
      </c>
      <c r="V53" s="71">
        <f t="shared" si="13"/>
        <v>28860</v>
      </c>
      <c r="W53" s="24" t="s">
        <v>18</v>
      </c>
    </row>
    <row r="54" spans="15:23" x14ac:dyDescent="0.25">
      <c r="O54" s="14"/>
      <c r="P54" s="37" t="s">
        <v>136</v>
      </c>
      <c r="Q54" s="152" t="s">
        <v>104</v>
      </c>
      <c r="R54" s="23" t="s">
        <v>178</v>
      </c>
      <c r="S54" s="69">
        <v>60</v>
      </c>
      <c r="T54" s="63">
        <f t="shared" si="20"/>
        <v>26000</v>
      </c>
      <c r="U54" s="71">
        <f t="shared" si="12"/>
        <v>2860</v>
      </c>
      <c r="V54" s="71">
        <f t="shared" si="13"/>
        <v>28860</v>
      </c>
      <c r="W54" s="24" t="s">
        <v>18</v>
      </c>
    </row>
    <row r="55" spans="15:23" x14ac:dyDescent="0.25">
      <c r="P55" s="37" t="s">
        <v>137</v>
      </c>
      <c r="Q55" s="152" t="s">
        <v>104</v>
      </c>
      <c r="R55" s="23" t="s">
        <v>178</v>
      </c>
      <c r="S55" s="69">
        <v>65</v>
      </c>
      <c r="T55" s="63">
        <f t="shared" si="20"/>
        <v>26000</v>
      </c>
      <c r="U55" s="71">
        <f t="shared" si="12"/>
        <v>2860</v>
      </c>
      <c r="V55" s="71">
        <f t="shared" si="13"/>
        <v>28860</v>
      </c>
      <c r="W55" s="24" t="s">
        <v>18</v>
      </c>
    </row>
    <row r="56" spans="15:23" x14ac:dyDescent="0.25">
      <c r="P56" s="37" t="s">
        <v>138</v>
      </c>
      <c r="Q56" s="152" t="s">
        <v>104</v>
      </c>
      <c r="R56" s="23" t="s">
        <v>178</v>
      </c>
      <c r="S56" s="69">
        <v>70</v>
      </c>
      <c r="T56" s="63">
        <f t="shared" si="20"/>
        <v>26000</v>
      </c>
      <c r="U56" s="71">
        <f t="shared" si="12"/>
        <v>2860</v>
      </c>
      <c r="V56" s="71">
        <f t="shared" si="13"/>
        <v>28860</v>
      </c>
      <c r="W56" s="24" t="s">
        <v>18</v>
      </c>
    </row>
    <row r="57" spans="15:23" x14ac:dyDescent="0.25">
      <c r="P57" s="37" t="s">
        <v>139</v>
      </c>
      <c r="Q57" s="152" t="s">
        <v>104</v>
      </c>
      <c r="R57" s="23" t="s">
        <v>178</v>
      </c>
      <c r="S57" s="69">
        <v>75</v>
      </c>
      <c r="T57" s="63">
        <f t="shared" si="20"/>
        <v>26000</v>
      </c>
      <c r="U57" s="71">
        <f t="shared" si="12"/>
        <v>2860</v>
      </c>
      <c r="V57" s="71">
        <f t="shared" si="13"/>
        <v>28860</v>
      </c>
      <c r="W57" s="24" t="s">
        <v>18</v>
      </c>
    </row>
    <row r="58" spans="15:23" x14ac:dyDescent="0.25">
      <c r="P58" s="37" t="s">
        <v>140</v>
      </c>
      <c r="Q58" s="152" t="s">
        <v>104</v>
      </c>
      <c r="R58" s="23" t="s">
        <v>178</v>
      </c>
      <c r="S58" s="69">
        <v>80</v>
      </c>
      <c r="T58" s="63">
        <f t="shared" si="20"/>
        <v>26000</v>
      </c>
      <c r="U58" s="71">
        <f t="shared" si="12"/>
        <v>2860</v>
      </c>
      <c r="V58" s="71">
        <f t="shared" si="13"/>
        <v>28860</v>
      </c>
      <c r="W58" s="24" t="s">
        <v>18</v>
      </c>
    </row>
    <row r="59" spans="15:23" x14ac:dyDescent="0.25">
      <c r="P59" s="37" t="s">
        <v>141</v>
      </c>
      <c r="Q59" s="152" t="s">
        <v>104</v>
      </c>
      <c r="R59" s="23" t="s">
        <v>178</v>
      </c>
      <c r="S59" s="69">
        <v>85</v>
      </c>
      <c r="T59" s="63">
        <f t="shared" si="20"/>
        <v>26000</v>
      </c>
      <c r="U59" s="71">
        <f t="shared" si="12"/>
        <v>2860</v>
      </c>
      <c r="V59" s="71">
        <f t="shared" si="13"/>
        <v>28860</v>
      </c>
      <c r="W59" s="24" t="s">
        <v>18</v>
      </c>
    </row>
    <row r="60" spans="15:23" x14ac:dyDescent="0.25">
      <c r="P60" s="37" t="s">
        <v>142</v>
      </c>
      <c r="Q60" s="152" t="s">
        <v>104</v>
      </c>
      <c r="R60" s="23" t="s">
        <v>178</v>
      </c>
      <c r="S60" s="69">
        <v>90</v>
      </c>
      <c r="T60" s="63">
        <f t="shared" si="20"/>
        <v>26000</v>
      </c>
      <c r="U60" s="71">
        <f t="shared" si="12"/>
        <v>2860</v>
      </c>
      <c r="V60" s="71">
        <f t="shared" si="13"/>
        <v>28860</v>
      </c>
      <c r="W60" s="24" t="s">
        <v>18</v>
      </c>
    </row>
    <row r="61" spans="15:23" x14ac:dyDescent="0.25">
      <c r="P61" s="37" t="s">
        <v>143</v>
      </c>
      <c r="Q61" s="152" t="s">
        <v>104</v>
      </c>
      <c r="R61" s="23" t="s">
        <v>178</v>
      </c>
      <c r="S61" s="69">
        <v>95</v>
      </c>
      <c r="T61" s="63">
        <f t="shared" si="20"/>
        <v>26000</v>
      </c>
      <c r="U61" s="71">
        <f t="shared" si="12"/>
        <v>2860</v>
      </c>
      <c r="V61" s="71">
        <f t="shared" si="13"/>
        <v>28860</v>
      </c>
      <c r="W61" s="24" t="s">
        <v>18</v>
      </c>
    </row>
    <row r="62" spans="15:23" x14ac:dyDescent="0.25">
      <c r="P62" s="37" t="s">
        <v>144</v>
      </c>
      <c r="Q62" s="152" t="s">
        <v>104</v>
      </c>
      <c r="R62" s="23" t="s">
        <v>178</v>
      </c>
      <c r="S62" s="69">
        <v>100</v>
      </c>
      <c r="T62" s="63">
        <f t="shared" si="20"/>
        <v>26000</v>
      </c>
      <c r="U62" s="71">
        <f t="shared" si="12"/>
        <v>2860</v>
      </c>
      <c r="V62" s="71">
        <f t="shared" si="13"/>
        <v>28860</v>
      </c>
      <c r="W62" s="24" t="s">
        <v>18</v>
      </c>
    </row>
    <row r="63" spans="15:23" x14ac:dyDescent="0.25">
      <c r="P63" s="37" t="s">
        <v>145</v>
      </c>
      <c r="Q63" s="152" t="s">
        <v>104</v>
      </c>
      <c r="R63" s="23" t="s">
        <v>178</v>
      </c>
      <c r="S63" s="69">
        <v>105</v>
      </c>
      <c r="T63" s="63">
        <f t="shared" si="20"/>
        <v>26000</v>
      </c>
      <c r="U63" s="71">
        <f t="shared" si="12"/>
        <v>2860</v>
      </c>
      <c r="V63" s="71">
        <f t="shared" si="13"/>
        <v>28860</v>
      </c>
      <c r="W63" s="24" t="s">
        <v>18</v>
      </c>
    </row>
    <row r="64" spans="15:23" x14ac:dyDescent="0.25">
      <c r="P64" s="37" t="s">
        <v>146</v>
      </c>
      <c r="Q64" s="152" t="s">
        <v>104</v>
      </c>
      <c r="R64" s="23" t="s">
        <v>178</v>
      </c>
      <c r="S64" s="69">
        <v>110</v>
      </c>
      <c r="T64" s="63">
        <f t="shared" si="20"/>
        <v>26000</v>
      </c>
      <c r="U64" s="71">
        <f t="shared" si="12"/>
        <v>2860</v>
      </c>
      <c r="V64" s="71">
        <f t="shared" si="13"/>
        <v>28860</v>
      </c>
      <c r="W64" s="24" t="s">
        <v>18</v>
      </c>
    </row>
    <row r="65" spans="16:24" x14ac:dyDescent="0.25">
      <c r="P65" s="37" t="s">
        <v>147</v>
      </c>
      <c r="Q65" s="152" t="s">
        <v>104</v>
      </c>
      <c r="R65" s="23" t="s">
        <v>178</v>
      </c>
      <c r="S65" s="69">
        <v>115</v>
      </c>
      <c r="T65" s="63">
        <f t="shared" si="20"/>
        <v>26000</v>
      </c>
      <c r="U65" s="71">
        <f t="shared" si="12"/>
        <v>2860</v>
      </c>
      <c r="V65" s="71">
        <f t="shared" si="13"/>
        <v>28860</v>
      </c>
      <c r="W65" s="24" t="s">
        <v>18</v>
      </c>
    </row>
    <row r="66" spans="16:24" x14ac:dyDescent="0.25">
      <c r="P66" s="37" t="s">
        <v>148</v>
      </c>
      <c r="Q66" s="152" t="s">
        <v>104</v>
      </c>
      <c r="R66" s="23" t="s">
        <v>178</v>
      </c>
      <c r="S66" s="69">
        <v>120</v>
      </c>
      <c r="T66" s="63">
        <f t="shared" si="20"/>
        <v>26000</v>
      </c>
      <c r="U66" s="71">
        <f t="shared" si="12"/>
        <v>2860</v>
      </c>
      <c r="V66" s="71">
        <f t="shared" si="13"/>
        <v>28860</v>
      </c>
      <c r="W66" s="24" t="s">
        <v>18</v>
      </c>
    </row>
    <row r="67" spans="16:24" x14ac:dyDescent="0.25">
      <c r="P67" s="37"/>
      <c r="Q67" s="152"/>
      <c r="R67" s="23"/>
      <c r="S67" s="69"/>
      <c r="T67" s="63"/>
      <c r="U67" s="71"/>
      <c r="V67" s="71"/>
      <c r="W67" s="24"/>
    </row>
    <row r="68" spans="16:24" x14ac:dyDescent="0.25">
      <c r="P68" s="37"/>
      <c r="Q68" s="152"/>
      <c r="R68" s="23"/>
      <c r="S68" s="69"/>
      <c r="T68" s="63"/>
      <c r="U68" s="71"/>
      <c r="V68" s="71"/>
      <c r="W68" s="24"/>
    </row>
    <row r="69" spans="16:24" ht="15.75" thickBot="1" x14ac:dyDescent="0.3">
      <c r="P69" s="38">
        <v>0</v>
      </c>
      <c r="Q69" s="26"/>
      <c r="R69" s="25"/>
      <c r="S69" s="72"/>
      <c r="T69" s="73"/>
      <c r="U69" s="73"/>
      <c r="V69" s="73"/>
      <c r="W69" s="27"/>
    </row>
    <row r="70" spans="16:24" ht="15.75" thickTop="1" x14ac:dyDescent="0.25">
      <c r="P70" s="12"/>
    </row>
    <row r="71" spans="16:24" ht="15.75" thickBot="1" x14ac:dyDescent="0.3">
      <c r="P71" s="160" t="s">
        <v>203</v>
      </c>
      <c r="Q71" s="160"/>
      <c r="R71" s="160"/>
      <c r="S71" s="160"/>
      <c r="T71" s="160"/>
      <c r="U71" s="160"/>
      <c r="V71" s="160"/>
      <c r="W71" s="160"/>
    </row>
    <row r="72" spans="16:24" ht="31.5" thickTop="1" thickBot="1" x14ac:dyDescent="0.3">
      <c r="P72" s="91" t="s">
        <v>31</v>
      </c>
      <c r="Q72" s="92" t="s">
        <v>32</v>
      </c>
      <c r="R72" s="92" t="s">
        <v>30</v>
      </c>
      <c r="S72" s="92" t="s">
        <v>85</v>
      </c>
      <c r="T72" s="92" t="s">
        <v>34</v>
      </c>
      <c r="U72" s="93" t="s">
        <v>35</v>
      </c>
      <c r="V72" s="92" t="s">
        <v>84</v>
      </c>
      <c r="W72" s="92" t="s">
        <v>36</v>
      </c>
      <c r="X72" s="97" t="s">
        <v>189</v>
      </c>
    </row>
    <row r="73" spans="16:24" ht="15.75" thickTop="1" x14ac:dyDescent="0.25">
      <c r="P73" s="39">
        <v>1</v>
      </c>
      <c r="Q73" s="90">
        <v>100</v>
      </c>
      <c r="R73" s="90">
        <f>+$F$9</f>
        <v>1</v>
      </c>
      <c r="S73" s="90">
        <f>+$L$11*300</f>
        <v>367272.36</v>
      </c>
      <c r="T73" s="90">
        <v>1500000</v>
      </c>
      <c r="U73" s="90">
        <f>(Q73-3000)*50*R73</f>
        <v>-145000</v>
      </c>
      <c r="V73" s="90">
        <f t="shared" ref="V73:V103" si="21">75000*R73</f>
        <v>75000</v>
      </c>
      <c r="W73" s="90">
        <f>100000*R73</f>
        <v>100000</v>
      </c>
      <c r="X73" s="94">
        <f>IF(R73&gt;0,SUM(S73:W73)/Q73,0)</f>
        <v>18972.723599999998</v>
      </c>
    </row>
    <row r="74" spans="16:24" x14ac:dyDescent="0.25">
      <c r="P74" s="15">
        <f>+P73+1</f>
        <v>2</v>
      </c>
      <c r="Q74" s="69">
        <v>200</v>
      </c>
      <c r="R74" s="69">
        <f>+$F$9</f>
        <v>1</v>
      </c>
      <c r="S74" s="69">
        <f t="shared" ref="S74:S103" si="22">+$L$11*300</f>
        <v>367272.36</v>
      </c>
      <c r="T74" s="69">
        <v>1500000</v>
      </c>
      <c r="U74" s="69">
        <f>(Q74-3000)*50*R74</f>
        <v>-140000</v>
      </c>
      <c r="V74" s="69">
        <f t="shared" si="21"/>
        <v>75000</v>
      </c>
      <c r="W74" s="69">
        <f t="shared" ref="W74:W81" si="23">100000*R74</f>
        <v>100000</v>
      </c>
      <c r="X74" s="95">
        <f t="shared" ref="X74:X76" si="24">IF(R74&gt;0,SUM(S74:W74)/Q74,0)</f>
        <v>9511.3617999999988</v>
      </c>
    </row>
    <row r="75" spans="16:24" x14ac:dyDescent="0.25">
      <c r="P75" s="15">
        <f t="shared" ref="P75:P103" si="25">+P74+1</f>
        <v>3</v>
      </c>
      <c r="Q75" s="69">
        <v>300</v>
      </c>
      <c r="R75" s="69">
        <f t="shared" ref="R75:R103" si="26">+$F$9</f>
        <v>1</v>
      </c>
      <c r="S75" s="69">
        <f t="shared" si="22"/>
        <v>367272.36</v>
      </c>
      <c r="T75" s="69">
        <v>1500000</v>
      </c>
      <c r="U75" s="69">
        <f>(Q75-3000)*50*R75</f>
        <v>-135000</v>
      </c>
      <c r="V75" s="69">
        <f t="shared" si="21"/>
        <v>75000</v>
      </c>
      <c r="W75" s="69">
        <f t="shared" si="23"/>
        <v>100000</v>
      </c>
      <c r="X75" s="95">
        <f t="shared" si="24"/>
        <v>6357.5745333333325</v>
      </c>
    </row>
    <row r="76" spans="16:24" x14ac:dyDescent="0.25">
      <c r="P76" s="15">
        <f t="shared" si="25"/>
        <v>4</v>
      </c>
      <c r="Q76" s="69">
        <v>500</v>
      </c>
      <c r="R76" s="69">
        <f t="shared" si="26"/>
        <v>1</v>
      </c>
      <c r="S76" s="69">
        <f t="shared" si="22"/>
        <v>367272.36</v>
      </c>
      <c r="T76" s="69">
        <v>1500000</v>
      </c>
      <c r="U76" s="69">
        <f>(Q76-3000)*50*R76</f>
        <v>-125000</v>
      </c>
      <c r="V76" s="69">
        <f t="shared" si="21"/>
        <v>75000</v>
      </c>
      <c r="W76" s="69">
        <f t="shared" si="23"/>
        <v>100000</v>
      </c>
      <c r="X76" s="95">
        <f t="shared" si="24"/>
        <v>3834.5447199999999</v>
      </c>
    </row>
    <row r="77" spans="16:24" x14ac:dyDescent="0.25">
      <c r="P77" s="15">
        <f t="shared" si="25"/>
        <v>5</v>
      </c>
      <c r="Q77" s="69">
        <v>1000</v>
      </c>
      <c r="R77" s="69">
        <f t="shared" si="26"/>
        <v>1</v>
      </c>
      <c r="S77" s="69">
        <f t="shared" si="22"/>
        <v>367272.36</v>
      </c>
      <c r="T77" s="69">
        <v>1500000</v>
      </c>
      <c r="U77" s="69">
        <f t="shared" ref="U77:U103" si="27">(Q77-3000)*50*R77</f>
        <v>-100000</v>
      </c>
      <c r="V77" s="69">
        <f t="shared" si="21"/>
        <v>75000</v>
      </c>
      <c r="W77" s="69">
        <f t="shared" si="23"/>
        <v>100000</v>
      </c>
      <c r="X77" s="95">
        <f t="shared" ref="X77:X103" si="28">IF(R77&gt;0,SUM(S77:W77)/Q77,0)</f>
        <v>1942.2723599999999</v>
      </c>
    </row>
    <row r="78" spans="16:24" x14ac:dyDescent="0.25">
      <c r="P78" s="15">
        <f t="shared" si="25"/>
        <v>6</v>
      </c>
      <c r="Q78" s="69">
        <v>2000</v>
      </c>
      <c r="R78" s="69">
        <f t="shared" si="26"/>
        <v>1</v>
      </c>
      <c r="S78" s="69">
        <f t="shared" si="22"/>
        <v>367272.36</v>
      </c>
      <c r="T78" s="69">
        <v>1500000</v>
      </c>
      <c r="U78" s="69">
        <f t="shared" si="27"/>
        <v>-50000</v>
      </c>
      <c r="V78" s="69">
        <f t="shared" si="21"/>
        <v>75000</v>
      </c>
      <c r="W78" s="69">
        <f t="shared" si="23"/>
        <v>100000</v>
      </c>
      <c r="X78" s="95">
        <f t="shared" si="28"/>
        <v>996.13617999999997</v>
      </c>
    </row>
    <row r="79" spans="16:24" x14ac:dyDescent="0.25">
      <c r="P79" s="15">
        <f t="shared" si="25"/>
        <v>7</v>
      </c>
      <c r="Q79" s="69">
        <v>3000</v>
      </c>
      <c r="R79" s="69">
        <f t="shared" si="26"/>
        <v>1</v>
      </c>
      <c r="S79" s="69">
        <f t="shared" si="22"/>
        <v>367272.36</v>
      </c>
      <c r="T79" s="69">
        <v>1500000</v>
      </c>
      <c r="U79" s="69">
        <f t="shared" si="27"/>
        <v>0</v>
      </c>
      <c r="V79" s="69">
        <f t="shared" si="21"/>
        <v>75000</v>
      </c>
      <c r="W79" s="69">
        <f t="shared" si="23"/>
        <v>100000</v>
      </c>
      <c r="X79" s="95">
        <f t="shared" si="28"/>
        <v>680.75745333333327</v>
      </c>
    </row>
    <row r="80" spans="16:24" x14ac:dyDescent="0.25">
      <c r="P80" s="15">
        <f t="shared" si="25"/>
        <v>8</v>
      </c>
      <c r="Q80" s="69">
        <v>4000</v>
      </c>
      <c r="R80" s="69">
        <f t="shared" si="26"/>
        <v>1</v>
      </c>
      <c r="S80" s="69">
        <f t="shared" si="22"/>
        <v>367272.36</v>
      </c>
      <c r="T80" s="69">
        <v>1500000</v>
      </c>
      <c r="U80" s="69">
        <f t="shared" si="27"/>
        <v>50000</v>
      </c>
      <c r="V80" s="69">
        <f t="shared" si="21"/>
        <v>75000</v>
      </c>
      <c r="W80" s="69">
        <f t="shared" si="23"/>
        <v>100000</v>
      </c>
      <c r="X80" s="95">
        <f t="shared" si="28"/>
        <v>523.06808999999998</v>
      </c>
    </row>
    <row r="81" spans="16:24" x14ac:dyDescent="0.25">
      <c r="P81" s="15">
        <f t="shared" si="25"/>
        <v>9</v>
      </c>
      <c r="Q81" s="69">
        <v>5000</v>
      </c>
      <c r="R81" s="69">
        <f t="shared" si="26"/>
        <v>1</v>
      </c>
      <c r="S81" s="69">
        <f t="shared" si="22"/>
        <v>367272.36</v>
      </c>
      <c r="T81" s="69">
        <v>1500000</v>
      </c>
      <c r="U81" s="69">
        <f t="shared" si="27"/>
        <v>100000</v>
      </c>
      <c r="V81" s="69">
        <f t="shared" si="21"/>
        <v>75000</v>
      </c>
      <c r="W81" s="69">
        <f t="shared" si="23"/>
        <v>100000</v>
      </c>
      <c r="X81" s="95">
        <f t="shared" si="28"/>
        <v>428.45447199999995</v>
      </c>
    </row>
    <row r="82" spans="16:24" x14ac:dyDescent="0.25">
      <c r="P82" s="15">
        <f t="shared" si="25"/>
        <v>10</v>
      </c>
      <c r="Q82" s="69">
        <v>6000</v>
      </c>
      <c r="R82" s="69">
        <f t="shared" si="26"/>
        <v>1</v>
      </c>
      <c r="S82" s="69">
        <f t="shared" si="22"/>
        <v>367272.36</v>
      </c>
      <c r="T82" s="69">
        <v>1500000</v>
      </c>
      <c r="U82" s="69">
        <f t="shared" si="27"/>
        <v>150000</v>
      </c>
      <c r="V82" s="69">
        <f t="shared" si="21"/>
        <v>75000</v>
      </c>
      <c r="W82" s="69">
        <f>+$W$73*Q82/$Q$81</f>
        <v>120000</v>
      </c>
      <c r="X82" s="95">
        <f t="shared" si="28"/>
        <v>368.71205999999995</v>
      </c>
    </row>
    <row r="83" spans="16:24" x14ac:dyDescent="0.25">
      <c r="P83" s="15">
        <f t="shared" si="25"/>
        <v>11</v>
      </c>
      <c r="Q83" s="69">
        <v>7000</v>
      </c>
      <c r="R83" s="69">
        <f t="shared" si="26"/>
        <v>1</v>
      </c>
      <c r="S83" s="69">
        <f t="shared" si="22"/>
        <v>367272.36</v>
      </c>
      <c r="T83" s="69">
        <v>1500000</v>
      </c>
      <c r="U83" s="69">
        <f t="shared" si="27"/>
        <v>200000</v>
      </c>
      <c r="V83" s="69">
        <f t="shared" si="21"/>
        <v>75000</v>
      </c>
      <c r="W83" s="69">
        <f t="shared" ref="W83:W103" si="29">+$W$73*Q83/$Q$81</f>
        <v>140000</v>
      </c>
      <c r="X83" s="95">
        <f t="shared" si="28"/>
        <v>326.03890857142858</v>
      </c>
    </row>
    <row r="84" spans="16:24" x14ac:dyDescent="0.25">
      <c r="P84" s="15">
        <f t="shared" si="25"/>
        <v>12</v>
      </c>
      <c r="Q84" s="69">
        <v>8000</v>
      </c>
      <c r="R84" s="69">
        <f t="shared" si="26"/>
        <v>1</v>
      </c>
      <c r="S84" s="69">
        <f t="shared" si="22"/>
        <v>367272.36</v>
      </c>
      <c r="T84" s="69">
        <v>1500000</v>
      </c>
      <c r="U84" s="69">
        <f t="shared" si="27"/>
        <v>250000</v>
      </c>
      <c r="V84" s="69">
        <f t="shared" si="21"/>
        <v>75000</v>
      </c>
      <c r="W84" s="69">
        <f t="shared" si="29"/>
        <v>160000</v>
      </c>
      <c r="X84" s="95">
        <f t="shared" si="28"/>
        <v>294.03404499999999</v>
      </c>
    </row>
    <row r="85" spans="16:24" x14ac:dyDescent="0.25">
      <c r="P85" s="15">
        <f t="shared" si="25"/>
        <v>13</v>
      </c>
      <c r="Q85" s="69">
        <v>10000</v>
      </c>
      <c r="R85" s="69">
        <f t="shared" si="26"/>
        <v>1</v>
      </c>
      <c r="S85" s="69">
        <f t="shared" si="22"/>
        <v>367272.36</v>
      </c>
      <c r="T85" s="69">
        <v>1500000</v>
      </c>
      <c r="U85" s="69">
        <f t="shared" si="27"/>
        <v>350000</v>
      </c>
      <c r="V85" s="69">
        <f t="shared" si="21"/>
        <v>75000</v>
      </c>
      <c r="W85" s="69">
        <f t="shared" si="29"/>
        <v>200000</v>
      </c>
      <c r="X85" s="95">
        <f t="shared" si="28"/>
        <v>249.22723599999998</v>
      </c>
    </row>
    <row r="86" spans="16:24" x14ac:dyDescent="0.25">
      <c r="P86" s="15">
        <f t="shared" si="25"/>
        <v>14</v>
      </c>
      <c r="Q86" s="69">
        <v>15000</v>
      </c>
      <c r="R86" s="69">
        <f t="shared" si="26"/>
        <v>1</v>
      </c>
      <c r="S86" s="69">
        <f t="shared" si="22"/>
        <v>367272.36</v>
      </c>
      <c r="T86" s="69">
        <v>1500000</v>
      </c>
      <c r="U86" s="69">
        <f t="shared" si="27"/>
        <v>600000</v>
      </c>
      <c r="V86" s="69">
        <f t="shared" si="21"/>
        <v>75000</v>
      </c>
      <c r="W86" s="69">
        <f t="shared" si="29"/>
        <v>300000</v>
      </c>
      <c r="X86" s="95">
        <f t="shared" si="28"/>
        <v>189.484824</v>
      </c>
    </row>
    <row r="87" spans="16:24" x14ac:dyDescent="0.25">
      <c r="P87" s="15">
        <f t="shared" si="25"/>
        <v>15</v>
      </c>
      <c r="Q87" s="69">
        <v>20000</v>
      </c>
      <c r="R87" s="69">
        <f t="shared" si="26"/>
        <v>1</v>
      </c>
      <c r="S87" s="69">
        <f t="shared" si="22"/>
        <v>367272.36</v>
      </c>
      <c r="T87" s="69">
        <v>1500000</v>
      </c>
      <c r="U87" s="69">
        <f t="shared" si="27"/>
        <v>850000</v>
      </c>
      <c r="V87" s="69">
        <f t="shared" si="21"/>
        <v>75000</v>
      </c>
      <c r="W87" s="69">
        <f t="shared" si="29"/>
        <v>400000</v>
      </c>
      <c r="X87" s="95">
        <f t="shared" si="28"/>
        <v>159.613618</v>
      </c>
    </row>
    <row r="88" spans="16:24" x14ac:dyDescent="0.25">
      <c r="P88" s="15">
        <f t="shared" si="25"/>
        <v>16</v>
      </c>
      <c r="Q88" s="69">
        <v>25000</v>
      </c>
      <c r="R88" s="69">
        <f t="shared" si="26"/>
        <v>1</v>
      </c>
      <c r="S88" s="69">
        <f t="shared" si="22"/>
        <v>367272.36</v>
      </c>
      <c r="T88" s="69">
        <v>1500000</v>
      </c>
      <c r="U88" s="69">
        <f t="shared" si="27"/>
        <v>1100000</v>
      </c>
      <c r="V88" s="69">
        <f t="shared" si="21"/>
        <v>75000</v>
      </c>
      <c r="W88" s="69">
        <f t="shared" si="29"/>
        <v>500000</v>
      </c>
      <c r="X88" s="95">
        <f t="shared" si="28"/>
        <v>141.69089439999999</v>
      </c>
    </row>
    <row r="89" spans="16:24" x14ac:dyDescent="0.25">
      <c r="P89" s="15">
        <f t="shared" si="25"/>
        <v>17</v>
      </c>
      <c r="Q89" s="69">
        <v>30000</v>
      </c>
      <c r="R89" s="69">
        <f t="shared" si="26"/>
        <v>1</v>
      </c>
      <c r="S89" s="69">
        <f t="shared" si="22"/>
        <v>367272.36</v>
      </c>
      <c r="T89" s="69">
        <v>1500000</v>
      </c>
      <c r="U89" s="69">
        <f t="shared" si="27"/>
        <v>1350000</v>
      </c>
      <c r="V89" s="69">
        <f t="shared" si="21"/>
        <v>75000</v>
      </c>
      <c r="W89" s="69">
        <f t="shared" si="29"/>
        <v>600000</v>
      </c>
      <c r="X89" s="95">
        <f t="shared" si="28"/>
        <v>129.742412</v>
      </c>
    </row>
    <row r="90" spans="16:24" x14ac:dyDescent="0.25">
      <c r="P90" s="15">
        <f t="shared" si="25"/>
        <v>18</v>
      </c>
      <c r="Q90" s="69">
        <v>35000</v>
      </c>
      <c r="R90" s="69">
        <f t="shared" si="26"/>
        <v>1</v>
      </c>
      <c r="S90" s="69">
        <f t="shared" si="22"/>
        <v>367272.36</v>
      </c>
      <c r="T90" s="69">
        <v>1500000</v>
      </c>
      <c r="U90" s="69">
        <f t="shared" si="27"/>
        <v>1600000</v>
      </c>
      <c r="V90" s="69">
        <f t="shared" si="21"/>
        <v>75000</v>
      </c>
      <c r="W90" s="69">
        <f t="shared" si="29"/>
        <v>700000</v>
      </c>
      <c r="X90" s="95">
        <f t="shared" si="28"/>
        <v>121.2077817142857</v>
      </c>
    </row>
    <row r="91" spans="16:24" x14ac:dyDescent="0.25">
      <c r="P91" s="15">
        <f t="shared" si="25"/>
        <v>19</v>
      </c>
      <c r="Q91" s="69">
        <v>40000</v>
      </c>
      <c r="R91" s="69">
        <f t="shared" si="26"/>
        <v>1</v>
      </c>
      <c r="S91" s="69">
        <f t="shared" si="22"/>
        <v>367272.36</v>
      </c>
      <c r="T91" s="69">
        <v>1500000</v>
      </c>
      <c r="U91" s="69">
        <f t="shared" si="27"/>
        <v>1850000</v>
      </c>
      <c r="V91" s="69">
        <f t="shared" si="21"/>
        <v>75000</v>
      </c>
      <c r="W91" s="69">
        <f t="shared" si="29"/>
        <v>800000</v>
      </c>
      <c r="X91" s="95">
        <f t="shared" si="28"/>
        <v>114.80680899999999</v>
      </c>
    </row>
    <row r="92" spans="16:24" x14ac:dyDescent="0.25">
      <c r="P92" s="15">
        <f t="shared" si="25"/>
        <v>20</v>
      </c>
      <c r="Q92" s="69">
        <v>45000</v>
      </c>
      <c r="R92" s="69">
        <f t="shared" si="26"/>
        <v>1</v>
      </c>
      <c r="S92" s="69">
        <f t="shared" si="22"/>
        <v>367272.36</v>
      </c>
      <c r="T92" s="69">
        <v>1500000</v>
      </c>
      <c r="U92" s="69">
        <f t="shared" si="27"/>
        <v>2100000</v>
      </c>
      <c r="V92" s="69">
        <f t="shared" si="21"/>
        <v>75000</v>
      </c>
      <c r="W92" s="69">
        <f t="shared" si="29"/>
        <v>900000</v>
      </c>
      <c r="X92" s="95">
        <f t="shared" si="28"/>
        <v>109.82827466666666</v>
      </c>
    </row>
    <row r="93" spans="16:24" x14ac:dyDescent="0.25">
      <c r="P93" s="15">
        <f t="shared" si="25"/>
        <v>21</v>
      </c>
      <c r="Q93" s="69">
        <v>50000</v>
      </c>
      <c r="R93" s="69">
        <f t="shared" si="26"/>
        <v>1</v>
      </c>
      <c r="S93" s="69">
        <f t="shared" si="22"/>
        <v>367272.36</v>
      </c>
      <c r="T93" s="69">
        <v>1500000</v>
      </c>
      <c r="U93" s="69">
        <f t="shared" si="27"/>
        <v>2350000</v>
      </c>
      <c r="V93" s="69">
        <f t="shared" si="21"/>
        <v>75000</v>
      </c>
      <c r="W93" s="69">
        <f t="shared" si="29"/>
        <v>1000000</v>
      </c>
      <c r="X93" s="95">
        <f t="shared" si="28"/>
        <v>105.84544719999998</v>
      </c>
    </row>
    <row r="94" spans="16:24" x14ac:dyDescent="0.25">
      <c r="P94" s="15">
        <f t="shared" si="25"/>
        <v>22</v>
      </c>
      <c r="Q94" s="69">
        <v>55000</v>
      </c>
      <c r="R94" s="69">
        <f t="shared" si="26"/>
        <v>1</v>
      </c>
      <c r="S94" s="69">
        <f t="shared" si="22"/>
        <v>367272.36</v>
      </c>
      <c r="T94" s="69">
        <v>1500000</v>
      </c>
      <c r="U94" s="69">
        <f t="shared" si="27"/>
        <v>2600000</v>
      </c>
      <c r="V94" s="69">
        <f t="shared" si="21"/>
        <v>75000</v>
      </c>
      <c r="W94" s="69">
        <f t="shared" si="29"/>
        <v>1100000</v>
      </c>
      <c r="X94" s="95">
        <f t="shared" si="28"/>
        <v>102.58677018181817</v>
      </c>
    </row>
    <row r="95" spans="16:24" x14ac:dyDescent="0.25">
      <c r="P95" s="15">
        <f t="shared" si="25"/>
        <v>23</v>
      </c>
      <c r="Q95" s="69">
        <v>60000</v>
      </c>
      <c r="R95" s="69">
        <f t="shared" si="26"/>
        <v>1</v>
      </c>
      <c r="S95" s="69">
        <f t="shared" si="22"/>
        <v>367272.36</v>
      </c>
      <c r="T95" s="69">
        <v>1500000</v>
      </c>
      <c r="U95" s="69">
        <f t="shared" si="27"/>
        <v>2850000</v>
      </c>
      <c r="V95" s="69">
        <f t="shared" si="21"/>
        <v>75000</v>
      </c>
      <c r="W95" s="69">
        <f t="shared" si="29"/>
        <v>1200000</v>
      </c>
      <c r="X95" s="95">
        <f t="shared" si="28"/>
        <v>99.871205999999987</v>
      </c>
    </row>
    <row r="96" spans="16:24" x14ac:dyDescent="0.25">
      <c r="P96" s="15">
        <f t="shared" si="25"/>
        <v>24</v>
      </c>
      <c r="Q96" s="69">
        <v>65000</v>
      </c>
      <c r="R96" s="69">
        <f t="shared" si="26"/>
        <v>1</v>
      </c>
      <c r="S96" s="69">
        <f t="shared" si="22"/>
        <v>367272.36</v>
      </c>
      <c r="T96" s="69">
        <v>1500000</v>
      </c>
      <c r="U96" s="69">
        <f t="shared" si="27"/>
        <v>3100000</v>
      </c>
      <c r="V96" s="69">
        <f t="shared" si="21"/>
        <v>75000</v>
      </c>
      <c r="W96" s="69">
        <f t="shared" si="29"/>
        <v>1300000</v>
      </c>
      <c r="X96" s="95">
        <f t="shared" si="28"/>
        <v>97.57342092307691</v>
      </c>
    </row>
    <row r="97" spans="16:24" x14ac:dyDescent="0.25">
      <c r="P97" s="15">
        <f t="shared" si="25"/>
        <v>25</v>
      </c>
      <c r="Q97" s="69">
        <v>70000</v>
      </c>
      <c r="R97" s="69">
        <f t="shared" si="26"/>
        <v>1</v>
      </c>
      <c r="S97" s="69">
        <f t="shared" si="22"/>
        <v>367272.36</v>
      </c>
      <c r="T97" s="69">
        <v>1500000</v>
      </c>
      <c r="U97" s="69">
        <f t="shared" si="27"/>
        <v>3350000</v>
      </c>
      <c r="V97" s="69">
        <f t="shared" si="21"/>
        <v>75000</v>
      </c>
      <c r="W97" s="69">
        <f t="shared" si="29"/>
        <v>1400000</v>
      </c>
      <c r="X97" s="95">
        <f t="shared" si="28"/>
        <v>95.603890857142844</v>
      </c>
    </row>
    <row r="98" spans="16:24" x14ac:dyDescent="0.25">
      <c r="P98" s="15">
        <f t="shared" si="25"/>
        <v>26</v>
      </c>
      <c r="Q98" s="69">
        <v>75000</v>
      </c>
      <c r="R98" s="69">
        <f t="shared" si="26"/>
        <v>1</v>
      </c>
      <c r="S98" s="69">
        <f t="shared" si="22"/>
        <v>367272.36</v>
      </c>
      <c r="T98" s="69">
        <v>1500000</v>
      </c>
      <c r="U98" s="69">
        <f t="shared" si="27"/>
        <v>3600000</v>
      </c>
      <c r="V98" s="69">
        <f t="shared" si="21"/>
        <v>75000</v>
      </c>
      <c r="W98" s="69">
        <f t="shared" si="29"/>
        <v>1500000</v>
      </c>
      <c r="X98" s="95">
        <f t="shared" si="28"/>
        <v>93.896964799999992</v>
      </c>
    </row>
    <row r="99" spans="16:24" x14ac:dyDescent="0.25">
      <c r="P99" s="15">
        <f t="shared" si="25"/>
        <v>27</v>
      </c>
      <c r="Q99" s="69">
        <v>80000</v>
      </c>
      <c r="R99" s="69">
        <f t="shared" si="26"/>
        <v>1</v>
      </c>
      <c r="S99" s="69">
        <f t="shared" si="22"/>
        <v>367272.36</v>
      </c>
      <c r="T99" s="69">
        <v>1500000</v>
      </c>
      <c r="U99" s="69">
        <f t="shared" si="27"/>
        <v>3850000</v>
      </c>
      <c r="V99" s="69">
        <f t="shared" si="21"/>
        <v>75000</v>
      </c>
      <c r="W99" s="69">
        <f t="shared" si="29"/>
        <v>1600000</v>
      </c>
      <c r="X99" s="95">
        <f t="shared" si="28"/>
        <v>92.403404499999994</v>
      </c>
    </row>
    <row r="100" spans="16:24" x14ac:dyDescent="0.25">
      <c r="P100" s="15">
        <f t="shared" si="25"/>
        <v>28</v>
      </c>
      <c r="Q100" s="69">
        <v>85000</v>
      </c>
      <c r="R100" s="69">
        <f t="shared" si="26"/>
        <v>1</v>
      </c>
      <c r="S100" s="69">
        <f t="shared" si="22"/>
        <v>367272.36</v>
      </c>
      <c r="T100" s="69">
        <v>1500000</v>
      </c>
      <c r="U100" s="69">
        <f t="shared" si="27"/>
        <v>4100000</v>
      </c>
      <c r="V100" s="69">
        <f t="shared" si="21"/>
        <v>75000</v>
      </c>
      <c r="W100" s="69">
        <f t="shared" si="29"/>
        <v>1700000</v>
      </c>
      <c r="X100" s="95">
        <f t="shared" si="28"/>
        <v>91.085557176470587</v>
      </c>
    </row>
    <row r="101" spans="16:24" x14ac:dyDescent="0.25">
      <c r="P101" s="15">
        <f t="shared" si="25"/>
        <v>29</v>
      </c>
      <c r="Q101" s="69">
        <v>90000</v>
      </c>
      <c r="R101" s="69">
        <f t="shared" si="26"/>
        <v>1</v>
      </c>
      <c r="S101" s="69">
        <f t="shared" si="22"/>
        <v>367272.36</v>
      </c>
      <c r="T101" s="69">
        <v>1500000</v>
      </c>
      <c r="U101" s="69">
        <f t="shared" si="27"/>
        <v>4350000</v>
      </c>
      <c r="V101" s="69">
        <f t="shared" si="21"/>
        <v>75000</v>
      </c>
      <c r="W101" s="69">
        <f t="shared" si="29"/>
        <v>1800000</v>
      </c>
      <c r="X101" s="95">
        <f t="shared" si="28"/>
        <v>89.914137333333329</v>
      </c>
    </row>
    <row r="102" spans="16:24" x14ac:dyDescent="0.25">
      <c r="P102" s="15">
        <f t="shared" si="25"/>
        <v>30</v>
      </c>
      <c r="Q102" s="69">
        <v>95000</v>
      </c>
      <c r="R102" s="69">
        <f t="shared" si="26"/>
        <v>1</v>
      </c>
      <c r="S102" s="69">
        <f t="shared" si="22"/>
        <v>367272.36</v>
      </c>
      <c r="T102" s="69">
        <v>1500000</v>
      </c>
      <c r="U102" s="69">
        <f t="shared" si="27"/>
        <v>4600000</v>
      </c>
      <c r="V102" s="69">
        <f t="shared" si="21"/>
        <v>75000</v>
      </c>
      <c r="W102" s="69">
        <f t="shared" si="29"/>
        <v>1900000</v>
      </c>
      <c r="X102" s="95">
        <f t="shared" si="28"/>
        <v>88.866024842105261</v>
      </c>
    </row>
    <row r="103" spans="16:24" ht="15.75" thickBot="1" x14ac:dyDescent="0.3">
      <c r="P103" s="16">
        <f t="shared" si="25"/>
        <v>31</v>
      </c>
      <c r="Q103" s="72">
        <v>100000</v>
      </c>
      <c r="R103" s="72">
        <f t="shared" si="26"/>
        <v>1</v>
      </c>
      <c r="S103" s="72">
        <f t="shared" si="22"/>
        <v>367272.36</v>
      </c>
      <c r="T103" s="72">
        <v>1500000</v>
      </c>
      <c r="U103" s="72">
        <f t="shared" si="27"/>
        <v>4850000</v>
      </c>
      <c r="V103" s="72">
        <f t="shared" si="21"/>
        <v>75000</v>
      </c>
      <c r="W103" s="72">
        <f t="shared" si="29"/>
        <v>2000000</v>
      </c>
      <c r="X103" s="96">
        <f t="shared" si="28"/>
        <v>87.922723599999998</v>
      </c>
    </row>
    <row r="104" spans="16:24" ht="15.75" thickTop="1" x14ac:dyDescent="0.25"/>
    <row r="106" spans="16:24" ht="15.75" thickBot="1" x14ac:dyDescent="0.3">
      <c r="P106" s="160" t="s">
        <v>204</v>
      </c>
      <c r="Q106" s="160"/>
      <c r="R106" s="160"/>
      <c r="S106" s="160"/>
      <c r="T106" s="160"/>
      <c r="U106" s="160"/>
      <c r="V106" s="160"/>
      <c r="W106" s="160"/>
    </row>
    <row r="107" spans="16:24" ht="31.5" thickTop="1" thickBot="1" x14ac:dyDescent="0.3">
      <c r="P107" s="91" t="s">
        <v>31</v>
      </c>
      <c r="Q107" s="92" t="s">
        <v>32</v>
      </c>
      <c r="R107" s="92" t="s">
        <v>30</v>
      </c>
      <c r="S107" s="92" t="s">
        <v>85</v>
      </c>
      <c r="T107" s="92" t="s">
        <v>34</v>
      </c>
      <c r="U107" s="93" t="s">
        <v>35</v>
      </c>
      <c r="V107" s="92" t="s">
        <v>84</v>
      </c>
      <c r="W107" s="92" t="s">
        <v>36</v>
      </c>
      <c r="X107" s="97" t="s">
        <v>189</v>
      </c>
    </row>
    <row r="108" spans="16:24" ht="15.75" thickTop="1" x14ac:dyDescent="0.25">
      <c r="P108" s="39">
        <v>1</v>
      </c>
      <c r="Q108" s="90">
        <v>100</v>
      </c>
      <c r="R108" s="90">
        <f>+$F$9</f>
        <v>1</v>
      </c>
      <c r="S108" s="90">
        <f>+$L$11*300</f>
        <v>367272.36</v>
      </c>
      <c r="T108" s="90">
        <v>2500000</v>
      </c>
      <c r="U108" s="90">
        <f>(Q108-3000)*300</f>
        <v>-870000</v>
      </c>
      <c r="V108" s="90">
        <f>200000*R108</f>
        <v>200000</v>
      </c>
      <c r="W108" s="90">
        <f>150000*R108</f>
        <v>150000</v>
      </c>
      <c r="X108" s="94">
        <f>IF(R108&gt;0,SUM(S108:W108)/Q108,0)</f>
        <v>23472.723599999998</v>
      </c>
    </row>
    <row r="109" spans="16:24" x14ac:dyDescent="0.25">
      <c r="P109" s="15">
        <f>+P108+1</f>
        <v>2</v>
      </c>
      <c r="Q109" s="69">
        <v>200</v>
      </c>
      <c r="R109" s="69">
        <f>+$F$9</f>
        <v>1</v>
      </c>
      <c r="S109" s="69">
        <f t="shared" ref="S109:S138" si="30">+$L$11*300</f>
        <v>367272.36</v>
      </c>
      <c r="T109" s="69">
        <v>2500000</v>
      </c>
      <c r="U109" s="69">
        <f t="shared" ref="U109:U138" si="31">(Q109-3000)*300</f>
        <v>-840000</v>
      </c>
      <c r="V109" s="69">
        <f t="shared" ref="V109:V138" si="32">200000*R109</f>
        <v>200000</v>
      </c>
      <c r="W109" s="69">
        <v>600000</v>
      </c>
      <c r="X109" s="95">
        <f t="shared" ref="X109:X111" si="33">IF(R109&gt;0,SUM(S109:W109)/Q109,0)</f>
        <v>14136.361799999999</v>
      </c>
    </row>
    <row r="110" spans="16:24" x14ac:dyDescent="0.25">
      <c r="P110" s="15">
        <f t="shared" ref="P110:P138" si="34">+P109+1</f>
        <v>3</v>
      </c>
      <c r="Q110" s="69">
        <v>300</v>
      </c>
      <c r="R110" s="69">
        <f t="shared" ref="R110:R138" si="35">+$F$9</f>
        <v>1</v>
      </c>
      <c r="S110" s="69">
        <f t="shared" si="30"/>
        <v>367272.36</v>
      </c>
      <c r="T110" s="69">
        <v>2500000</v>
      </c>
      <c r="U110" s="69">
        <f t="shared" si="31"/>
        <v>-810000</v>
      </c>
      <c r="V110" s="69">
        <f t="shared" si="32"/>
        <v>200000</v>
      </c>
      <c r="W110" s="69">
        <v>600000</v>
      </c>
      <c r="X110" s="95">
        <f t="shared" si="33"/>
        <v>9524.2412000000004</v>
      </c>
    </row>
    <row r="111" spans="16:24" x14ac:dyDescent="0.25">
      <c r="P111" s="15">
        <f t="shared" si="34"/>
        <v>4</v>
      </c>
      <c r="Q111" s="69">
        <v>500</v>
      </c>
      <c r="R111" s="69">
        <f t="shared" si="35"/>
        <v>1</v>
      </c>
      <c r="S111" s="69">
        <f t="shared" si="30"/>
        <v>367272.36</v>
      </c>
      <c r="T111" s="69">
        <v>2500000</v>
      </c>
      <c r="U111" s="69">
        <f t="shared" si="31"/>
        <v>-750000</v>
      </c>
      <c r="V111" s="69">
        <f t="shared" si="32"/>
        <v>200000</v>
      </c>
      <c r="W111" s="69">
        <v>600000</v>
      </c>
      <c r="X111" s="95">
        <f t="shared" si="33"/>
        <v>5834.5447199999999</v>
      </c>
    </row>
    <row r="112" spans="16:24" x14ac:dyDescent="0.25">
      <c r="P112" s="15">
        <f t="shared" si="34"/>
        <v>5</v>
      </c>
      <c r="Q112" s="69">
        <v>1000</v>
      </c>
      <c r="R112" s="69">
        <f t="shared" si="35"/>
        <v>1</v>
      </c>
      <c r="S112" s="69">
        <f t="shared" si="30"/>
        <v>367272.36</v>
      </c>
      <c r="T112" s="69">
        <v>2500000</v>
      </c>
      <c r="U112" s="69">
        <f t="shared" si="31"/>
        <v>-600000</v>
      </c>
      <c r="V112" s="69">
        <f t="shared" si="32"/>
        <v>200000</v>
      </c>
      <c r="W112" s="69">
        <v>600000</v>
      </c>
      <c r="X112" s="95">
        <f t="shared" ref="X112:X138" si="36">IF(R112&gt;0,SUM(S112:W112)/Q112,0)</f>
        <v>3067.2723599999999</v>
      </c>
    </row>
    <row r="113" spans="16:24" x14ac:dyDescent="0.25">
      <c r="P113" s="15">
        <f t="shared" si="34"/>
        <v>6</v>
      </c>
      <c r="Q113" s="69">
        <v>2000</v>
      </c>
      <c r="R113" s="69">
        <f t="shared" si="35"/>
        <v>1</v>
      </c>
      <c r="S113" s="69">
        <f t="shared" si="30"/>
        <v>367272.36</v>
      </c>
      <c r="T113" s="69">
        <v>2500000</v>
      </c>
      <c r="U113" s="69">
        <f t="shared" si="31"/>
        <v>-300000</v>
      </c>
      <c r="V113" s="69">
        <f t="shared" si="32"/>
        <v>200000</v>
      </c>
      <c r="W113" s="69">
        <v>600000</v>
      </c>
      <c r="X113" s="95">
        <f t="shared" si="36"/>
        <v>1683.63618</v>
      </c>
    </row>
    <row r="114" spans="16:24" x14ac:dyDescent="0.25">
      <c r="P114" s="15">
        <f t="shared" si="34"/>
        <v>7</v>
      </c>
      <c r="Q114" s="69">
        <v>3000</v>
      </c>
      <c r="R114" s="69">
        <f t="shared" si="35"/>
        <v>1</v>
      </c>
      <c r="S114" s="69">
        <f t="shared" si="30"/>
        <v>367272.36</v>
      </c>
      <c r="T114" s="69">
        <v>2500000</v>
      </c>
      <c r="U114" s="69">
        <f t="shared" si="31"/>
        <v>0</v>
      </c>
      <c r="V114" s="69">
        <f t="shared" si="32"/>
        <v>200000</v>
      </c>
      <c r="W114" s="69">
        <v>600000</v>
      </c>
      <c r="X114" s="95">
        <f t="shared" si="36"/>
        <v>1222.4241199999999</v>
      </c>
    </row>
    <row r="115" spans="16:24" x14ac:dyDescent="0.25">
      <c r="P115" s="15">
        <f t="shared" si="34"/>
        <v>8</v>
      </c>
      <c r="Q115" s="69">
        <v>4000</v>
      </c>
      <c r="R115" s="69">
        <f t="shared" si="35"/>
        <v>1</v>
      </c>
      <c r="S115" s="69">
        <f t="shared" si="30"/>
        <v>367272.36</v>
      </c>
      <c r="T115" s="69">
        <v>2500000</v>
      </c>
      <c r="U115" s="69">
        <f t="shared" si="31"/>
        <v>300000</v>
      </c>
      <c r="V115" s="69">
        <f t="shared" si="32"/>
        <v>200000</v>
      </c>
      <c r="W115" s="69">
        <v>600000</v>
      </c>
      <c r="X115" s="95">
        <f t="shared" si="36"/>
        <v>991.81808999999998</v>
      </c>
    </row>
    <row r="116" spans="16:24" x14ac:dyDescent="0.25">
      <c r="P116" s="15">
        <f t="shared" si="34"/>
        <v>9</v>
      </c>
      <c r="Q116" s="69">
        <v>5000</v>
      </c>
      <c r="R116" s="69">
        <f t="shared" si="35"/>
        <v>1</v>
      </c>
      <c r="S116" s="69">
        <f t="shared" si="30"/>
        <v>367272.36</v>
      </c>
      <c r="T116" s="69">
        <v>2500000</v>
      </c>
      <c r="U116" s="69">
        <f t="shared" si="31"/>
        <v>600000</v>
      </c>
      <c r="V116" s="69">
        <f t="shared" si="32"/>
        <v>200000</v>
      </c>
      <c r="W116" s="69">
        <v>600000</v>
      </c>
      <c r="X116" s="95">
        <f t="shared" si="36"/>
        <v>853.4544719999999</v>
      </c>
    </row>
    <row r="117" spans="16:24" x14ac:dyDescent="0.25">
      <c r="P117" s="15">
        <f t="shared" si="34"/>
        <v>10</v>
      </c>
      <c r="Q117" s="69">
        <v>6000</v>
      </c>
      <c r="R117" s="69">
        <f t="shared" si="35"/>
        <v>1</v>
      </c>
      <c r="S117" s="69">
        <f t="shared" si="30"/>
        <v>367272.36</v>
      </c>
      <c r="T117" s="69">
        <v>2500000</v>
      </c>
      <c r="U117" s="69">
        <f t="shared" si="31"/>
        <v>900000</v>
      </c>
      <c r="V117" s="69">
        <f t="shared" si="32"/>
        <v>200000</v>
      </c>
      <c r="W117" s="69">
        <f>+$W$116*Q117/$Q$116</f>
        <v>720000</v>
      </c>
      <c r="X117" s="95">
        <f t="shared" si="36"/>
        <v>781.21205999999995</v>
      </c>
    </row>
    <row r="118" spans="16:24" x14ac:dyDescent="0.25">
      <c r="P118" s="15">
        <f t="shared" si="34"/>
        <v>11</v>
      </c>
      <c r="Q118" s="69">
        <v>7000</v>
      </c>
      <c r="R118" s="69">
        <f t="shared" si="35"/>
        <v>1</v>
      </c>
      <c r="S118" s="69">
        <f t="shared" si="30"/>
        <v>367272.36</v>
      </c>
      <c r="T118" s="69">
        <v>2500000</v>
      </c>
      <c r="U118" s="69">
        <f t="shared" si="31"/>
        <v>1200000</v>
      </c>
      <c r="V118" s="69">
        <f t="shared" si="32"/>
        <v>200000</v>
      </c>
      <c r="W118" s="69">
        <f t="shared" ref="W118:W138" si="37">+$W$116*Q118/$Q$116</f>
        <v>840000</v>
      </c>
      <c r="X118" s="95">
        <f t="shared" si="36"/>
        <v>729.61033714285702</v>
      </c>
    </row>
    <row r="119" spans="16:24" x14ac:dyDescent="0.25">
      <c r="P119" s="15">
        <f t="shared" si="34"/>
        <v>12</v>
      </c>
      <c r="Q119" s="69">
        <v>8000</v>
      </c>
      <c r="R119" s="69">
        <f t="shared" si="35"/>
        <v>1</v>
      </c>
      <c r="S119" s="69">
        <f t="shared" si="30"/>
        <v>367272.36</v>
      </c>
      <c r="T119" s="69">
        <v>2500000</v>
      </c>
      <c r="U119" s="69">
        <f t="shared" si="31"/>
        <v>1500000</v>
      </c>
      <c r="V119" s="69">
        <f t="shared" si="32"/>
        <v>200000</v>
      </c>
      <c r="W119" s="69">
        <f t="shared" si="37"/>
        <v>960000</v>
      </c>
      <c r="X119" s="95">
        <f t="shared" si="36"/>
        <v>690.90904499999988</v>
      </c>
    </row>
    <row r="120" spans="16:24" x14ac:dyDescent="0.25">
      <c r="P120" s="15">
        <f t="shared" si="34"/>
        <v>13</v>
      </c>
      <c r="Q120" s="69">
        <v>10000</v>
      </c>
      <c r="R120" s="69">
        <f t="shared" si="35"/>
        <v>1</v>
      </c>
      <c r="S120" s="69">
        <f t="shared" si="30"/>
        <v>367272.36</v>
      </c>
      <c r="T120" s="69">
        <v>2500000</v>
      </c>
      <c r="U120" s="69">
        <f t="shared" si="31"/>
        <v>2100000</v>
      </c>
      <c r="V120" s="69">
        <f t="shared" si="32"/>
        <v>200000</v>
      </c>
      <c r="W120" s="69">
        <f t="shared" si="37"/>
        <v>1200000</v>
      </c>
      <c r="X120" s="95">
        <f t="shared" si="36"/>
        <v>636.72723599999995</v>
      </c>
    </row>
    <row r="121" spans="16:24" x14ac:dyDescent="0.25">
      <c r="P121" s="15">
        <f t="shared" si="34"/>
        <v>14</v>
      </c>
      <c r="Q121" s="69">
        <v>15000</v>
      </c>
      <c r="R121" s="69">
        <f t="shared" si="35"/>
        <v>1</v>
      </c>
      <c r="S121" s="69">
        <f t="shared" si="30"/>
        <v>367272.36</v>
      </c>
      <c r="T121" s="69">
        <v>2500000</v>
      </c>
      <c r="U121" s="69">
        <f t="shared" si="31"/>
        <v>3600000</v>
      </c>
      <c r="V121" s="69">
        <f t="shared" si="32"/>
        <v>200000</v>
      </c>
      <c r="W121" s="69">
        <f t="shared" si="37"/>
        <v>1800000</v>
      </c>
      <c r="X121" s="95">
        <f t="shared" si="36"/>
        <v>564.484824</v>
      </c>
    </row>
    <row r="122" spans="16:24" x14ac:dyDescent="0.25">
      <c r="P122" s="15">
        <f t="shared" si="34"/>
        <v>15</v>
      </c>
      <c r="Q122" s="69">
        <v>20000</v>
      </c>
      <c r="R122" s="69">
        <f t="shared" si="35"/>
        <v>1</v>
      </c>
      <c r="S122" s="69">
        <f t="shared" si="30"/>
        <v>367272.36</v>
      </c>
      <c r="T122" s="69">
        <v>2500000</v>
      </c>
      <c r="U122" s="69">
        <f t="shared" si="31"/>
        <v>5100000</v>
      </c>
      <c r="V122" s="69">
        <f t="shared" si="32"/>
        <v>200000</v>
      </c>
      <c r="W122" s="69">
        <f t="shared" si="37"/>
        <v>2400000</v>
      </c>
      <c r="X122" s="95">
        <f t="shared" si="36"/>
        <v>528.36361799999997</v>
      </c>
    </row>
    <row r="123" spans="16:24" x14ac:dyDescent="0.25">
      <c r="P123" s="15">
        <f t="shared" si="34"/>
        <v>16</v>
      </c>
      <c r="Q123" s="69">
        <v>25000</v>
      </c>
      <c r="R123" s="69">
        <f t="shared" si="35"/>
        <v>1</v>
      </c>
      <c r="S123" s="69">
        <f t="shared" si="30"/>
        <v>367272.36</v>
      </c>
      <c r="T123" s="69">
        <v>2500000</v>
      </c>
      <c r="U123" s="69">
        <f t="shared" si="31"/>
        <v>6600000</v>
      </c>
      <c r="V123" s="69">
        <f t="shared" si="32"/>
        <v>200000</v>
      </c>
      <c r="W123" s="69">
        <f t="shared" si="37"/>
        <v>3000000</v>
      </c>
      <c r="X123" s="95">
        <f t="shared" si="36"/>
        <v>506.69089439999999</v>
      </c>
    </row>
    <row r="124" spans="16:24" x14ac:dyDescent="0.25">
      <c r="P124" s="15">
        <f t="shared" si="34"/>
        <v>17</v>
      </c>
      <c r="Q124" s="69">
        <v>30000</v>
      </c>
      <c r="R124" s="69">
        <f t="shared" si="35"/>
        <v>1</v>
      </c>
      <c r="S124" s="69">
        <f t="shared" si="30"/>
        <v>367272.36</v>
      </c>
      <c r="T124" s="69">
        <v>2500000</v>
      </c>
      <c r="U124" s="69">
        <f t="shared" si="31"/>
        <v>8100000</v>
      </c>
      <c r="V124" s="69">
        <f t="shared" si="32"/>
        <v>200000</v>
      </c>
      <c r="W124" s="69">
        <f t="shared" si="37"/>
        <v>3600000</v>
      </c>
      <c r="X124" s="95">
        <f t="shared" si="36"/>
        <v>492.242412</v>
      </c>
    </row>
    <row r="125" spans="16:24" x14ac:dyDescent="0.25">
      <c r="P125" s="15">
        <f t="shared" si="34"/>
        <v>18</v>
      </c>
      <c r="Q125" s="69">
        <v>35000</v>
      </c>
      <c r="R125" s="69">
        <f t="shared" si="35"/>
        <v>1</v>
      </c>
      <c r="S125" s="69">
        <f t="shared" si="30"/>
        <v>367272.36</v>
      </c>
      <c r="T125" s="69">
        <v>2500000</v>
      </c>
      <c r="U125" s="69">
        <f t="shared" si="31"/>
        <v>9600000</v>
      </c>
      <c r="V125" s="69">
        <f t="shared" si="32"/>
        <v>200000</v>
      </c>
      <c r="W125" s="69">
        <f t="shared" si="37"/>
        <v>4200000</v>
      </c>
      <c r="X125" s="95">
        <f t="shared" si="36"/>
        <v>481.92206742857144</v>
      </c>
    </row>
    <row r="126" spans="16:24" x14ac:dyDescent="0.25">
      <c r="P126" s="15">
        <f t="shared" si="34"/>
        <v>19</v>
      </c>
      <c r="Q126" s="69">
        <v>40000</v>
      </c>
      <c r="R126" s="69">
        <f t="shared" si="35"/>
        <v>1</v>
      </c>
      <c r="S126" s="69">
        <f t="shared" si="30"/>
        <v>367272.36</v>
      </c>
      <c r="T126" s="69">
        <v>2500000</v>
      </c>
      <c r="U126" s="69">
        <f t="shared" si="31"/>
        <v>11100000</v>
      </c>
      <c r="V126" s="69">
        <f t="shared" si="32"/>
        <v>200000</v>
      </c>
      <c r="W126" s="69">
        <f t="shared" si="37"/>
        <v>4800000</v>
      </c>
      <c r="X126" s="95">
        <f t="shared" si="36"/>
        <v>474.18180899999999</v>
      </c>
    </row>
    <row r="127" spans="16:24" x14ac:dyDescent="0.25">
      <c r="P127" s="15">
        <f t="shared" si="34"/>
        <v>20</v>
      </c>
      <c r="Q127" s="69">
        <v>45000</v>
      </c>
      <c r="R127" s="69">
        <f t="shared" si="35"/>
        <v>1</v>
      </c>
      <c r="S127" s="69">
        <f t="shared" si="30"/>
        <v>367272.36</v>
      </c>
      <c r="T127" s="69">
        <v>2500000</v>
      </c>
      <c r="U127" s="69">
        <f t="shared" si="31"/>
        <v>12600000</v>
      </c>
      <c r="V127" s="69">
        <f t="shared" si="32"/>
        <v>200000</v>
      </c>
      <c r="W127" s="69">
        <f t="shared" si="37"/>
        <v>5400000</v>
      </c>
      <c r="X127" s="95">
        <f t="shared" si="36"/>
        <v>468.161608</v>
      </c>
    </row>
    <row r="128" spans="16:24" x14ac:dyDescent="0.25">
      <c r="P128" s="15">
        <f t="shared" si="34"/>
        <v>21</v>
      </c>
      <c r="Q128" s="69">
        <v>50000</v>
      </c>
      <c r="R128" s="69">
        <f t="shared" si="35"/>
        <v>1</v>
      </c>
      <c r="S128" s="69">
        <f t="shared" si="30"/>
        <v>367272.36</v>
      </c>
      <c r="T128" s="69">
        <v>2500000</v>
      </c>
      <c r="U128" s="69">
        <f t="shared" si="31"/>
        <v>14100000</v>
      </c>
      <c r="V128" s="69">
        <f t="shared" si="32"/>
        <v>200000</v>
      </c>
      <c r="W128" s="69">
        <f t="shared" si="37"/>
        <v>6000000</v>
      </c>
      <c r="X128" s="95">
        <f t="shared" si="36"/>
        <v>463.34544719999997</v>
      </c>
    </row>
    <row r="129" spans="16:25" x14ac:dyDescent="0.25">
      <c r="P129" s="15">
        <f t="shared" si="34"/>
        <v>22</v>
      </c>
      <c r="Q129" s="69">
        <v>55000</v>
      </c>
      <c r="R129" s="69">
        <f t="shared" si="35"/>
        <v>1</v>
      </c>
      <c r="S129" s="69">
        <f t="shared" si="30"/>
        <v>367272.36</v>
      </c>
      <c r="T129" s="69">
        <v>2500000</v>
      </c>
      <c r="U129" s="69">
        <f t="shared" si="31"/>
        <v>15600000</v>
      </c>
      <c r="V129" s="69">
        <f t="shared" si="32"/>
        <v>200000</v>
      </c>
      <c r="W129" s="69">
        <f t="shared" si="37"/>
        <v>6600000</v>
      </c>
      <c r="X129" s="95">
        <f t="shared" si="36"/>
        <v>459.40495199999998</v>
      </c>
    </row>
    <row r="130" spans="16:25" x14ac:dyDescent="0.25">
      <c r="P130" s="15">
        <f t="shared" si="34"/>
        <v>23</v>
      </c>
      <c r="Q130" s="69">
        <v>60000</v>
      </c>
      <c r="R130" s="69">
        <f t="shared" si="35"/>
        <v>1</v>
      </c>
      <c r="S130" s="69">
        <f t="shared" si="30"/>
        <v>367272.36</v>
      </c>
      <c r="T130" s="69">
        <v>2500000</v>
      </c>
      <c r="U130" s="69">
        <f t="shared" si="31"/>
        <v>17100000</v>
      </c>
      <c r="V130" s="69">
        <f t="shared" si="32"/>
        <v>200000</v>
      </c>
      <c r="W130" s="69">
        <f t="shared" si="37"/>
        <v>7200000</v>
      </c>
      <c r="X130" s="95">
        <f t="shared" si="36"/>
        <v>456.12120599999997</v>
      </c>
    </row>
    <row r="131" spans="16:25" x14ac:dyDescent="0.25">
      <c r="P131" s="15">
        <f t="shared" si="34"/>
        <v>24</v>
      </c>
      <c r="Q131" s="69">
        <v>65000</v>
      </c>
      <c r="R131" s="69">
        <f t="shared" si="35"/>
        <v>1</v>
      </c>
      <c r="S131" s="69">
        <f t="shared" si="30"/>
        <v>367272.36</v>
      </c>
      <c r="T131" s="69">
        <v>2500000</v>
      </c>
      <c r="U131" s="69">
        <f t="shared" si="31"/>
        <v>18600000</v>
      </c>
      <c r="V131" s="69">
        <f t="shared" si="32"/>
        <v>200000</v>
      </c>
      <c r="W131" s="69">
        <f t="shared" si="37"/>
        <v>7800000</v>
      </c>
      <c r="X131" s="95">
        <f t="shared" si="36"/>
        <v>453.3426516923077</v>
      </c>
    </row>
    <row r="132" spans="16:25" x14ac:dyDescent="0.25">
      <c r="P132" s="15">
        <f t="shared" si="34"/>
        <v>25</v>
      </c>
      <c r="Q132" s="69">
        <v>70000</v>
      </c>
      <c r="R132" s="69">
        <f t="shared" si="35"/>
        <v>1</v>
      </c>
      <c r="S132" s="69">
        <f t="shared" si="30"/>
        <v>367272.36</v>
      </c>
      <c r="T132" s="69">
        <v>2500000</v>
      </c>
      <c r="U132" s="69">
        <f t="shared" si="31"/>
        <v>20100000</v>
      </c>
      <c r="V132" s="69">
        <f t="shared" si="32"/>
        <v>200000</v>
      </c>
      <c r="W132" s="69">
        <f t="shared" si="37"/>
        <v>8400000</v>
      </c>
      <c r="X132" s="95">
        <f t="shared" si="36"/>
        <v>450.96103371428569</v>
      </c>
    </row>
    <row r="133" spans="16:25" x14ac:dyDescent="0.25">
      <c r="P133" s="15">
        <f t="shared" si="34"/>
        <v>26</v>
      </c>
      <c r="Q133" s="69">
        <v>75000</v>
      </c>
      <c r="R133" s="69">
        <f t="shared" si="35"/>
        <v>1</v>
      </c>
      <c r="S133" s="69">
        <f t="shared" si="30"/>
        <v>367272.36</v>
      </c>
      <c r="T133" s="69">
        <v>2500000</v>
      </c>
      <c r="U133" s="69">
        <f t="shared" si="31"/>
        <v>21600000</v>
      </c>
      <c r="V133" s="69">
        <f t="shared" si="32"/>
        <v>200000</v>
      </c>
      <c r="W133" s="69">
        <f t="shared" si="37"/>
        <v>9000000</v>
      </c>
      <c r="X133" s="95">
        <f t="shared" si="36"/>
        <v>448.89696479999998</v>
      </c>
    </row>
    <row r="134" spans="16:25" x14ac:dyDescent="0.25">
      <c r="P134" s="15">
        <f t="shared" si="34"/>
        <v>27</v>
      </c>
      <c r="Q134" s="69">
        <v>80000</v>
      </c>
      <c r="R134" s="69">
        <f t="shared" si="35"/>
        <v>1</v>
      </c>
      <c r="S134" s="69">
        <f t="shared" si="30"/>
        <v>367272.36</v>
      </c>
      <c r="T134" s="69">
        <v>2500000</v>
      </c>
      <c r="U134" s="69">
        <f t="shared" si="31"/>
        <v>23100000</v>
      </c>
      <c r="V134" s="69">
        <f t="shared" si="32"/>
        <v>200000</v>
      </c>
      <c r="W134" s="69">
        <f t="shared" si="37"/>
        <v>9600000</v>
      </c>
      <c r="X134" s="95">
        <f t="shared" si="36"/>
        <v>447.09090449999997</v>
      </c>
    </row>
    <row r="135" spans="16:25" x14ac:dyDescent="0.25">
      <c r="P135" s="15">
        <f t="shared" si="34"/>
        <v>28</v>
      </c>
      <c r="Q135" s="69">
        <v>85000</v>
      </c>
      <c r="R135" s="69">
        <f t="shared" si="35"/>
        <v>1</v>
      </c>
      <c r="S135" s="69">
        <f t="shared" si="30"/>
        <v>367272.36</v>
      </c>
      <c r="T135" s="69">
        <v>2500000</v>
      </c>
      <c r="U135" s="69">
        <f t="shared" si="31"/>
        <v>24600000</v>
      </c>
      <c r="V135" s="69">
        <f t="shared" si="32"/>
        <v>200000</v>
      </c>
      <c r="W135" s="69">
        <f t="shared" si="37"/>
        <v>10200000</v>
      </c>
      <c r="X135" s="95">
        <f t="shared" si="36"/>
        <v>445.49732188235294</v>
      </c>
    </row>
    <row r="136" spans="16:25" x14ac:dyDescent="0.25">
      <c r="P136" s="15">
        <f t="shared" si="34"/>
        <v>29</v>
      </c>
      <c r="Q136" s="69">
        <v>90000</v>
      </c>
      <c r="R136" s="69">
        <f t="shared" si="35"/>
        <v>1</v>
      </c>
      <c r="S136" s="69">
        <f t="shared" si="30"/>
        <v>367272.36</v>
      </c>
      <c r="T136" s="69">
        <v>2500000</v>
      </c>
      <c r="U136" s="69">
        <f t="shared" si="31"/>
        <v>26100000</v>
      </c>
      <c r="V136" s="69">
        <f t="shared" si="32"/>
        <v>200000</v>
      </c>
      <c r="W136" s="69">
        <f t="shared" si="37"/>
        <v>10800000</v>
      </c>
      <c r="X136" s="95">
        <f t="shared" si="36"/>
        <v>444.080804</v>
      </c>
    </row>
    <row r="137" spans="16:25" x14ac:dyDescent="0.25">
      <c r="P137" s="15">
        <f t="shared" si="34"/>
        <v>30</v>
      </c>
      <c r="Q137" s="69">
        <v>95000</v>
      </c>
      <c r="R137" s="69">
        <f t="shared" si="35"/>
        <v>1</v>
      </c>
      <c r="S137" s="69">
        <f t="shared" si="30"/>
        <v>367272.36</v>
      </c>
      <c r="T137" s="69">
        <v>2500000</v>
      </c>
      <c r="U137" s="69">
        <f t="shared" si="31"/>
        <v>27600000</v>
      </c>
      <c r="V137" s="69">
        <f t="shared" si="32"/>
        <v>200000</v>
      </c>
      <c r="W137" s="69">
        <f t="shared" si="37"/>
        <v>11400000</v>
      </c>
      <c r="X137" s="95">
        <f t="shared" si="36"/>
        <v>442.81339326315788</v>
      </c>
    </row>
    <row r="138" spans="16:25" ht="15.75" thickBot="1" x14ac:dyDescent="0.3">
      <c r="P138" s="16">
        <f t="shared" si="34"/>
        <v>31</v>
      </c>
      <c r="Q138" s="72">
        <v>100000</v>
      </c>
      <c r="R138" s="72">
        <f t="shared" si="35"/>
        <v>1</v>
      </c>
      <c r="S138" s="72">
        <f t="shared" si="30"/>
        <v>367272.36</v>
      </c>
      <c r="T138" s="72">
        <v>2500000</v>
      </c>
      <c r="U138" s="72">
        <f t="shared" si="31"/>
        <v>29100000</v>
      </c>
      <c r="V138" s="72">
        <f t="shared" si="32"/>
        <v>200000</v>
      </c>
      <c r="W138" s="72">
        <f t="shared" si="37"/>
        <v>12000000</v>
      </c>
      <c r="X138" s="96">
        <f t="shared" si="36"/>
        <v>441.67272359999998</v>
      </c>
    </row>
    <row r="139" spans="16:25" ht="15.75" thickTop="1" x14ac:dyDescent="0.25"/>
    <row r="141" spans="16:25" ht="15.75" thickBot="1" x14ac:dyDescent="0.3">
      <c r="P141" s="160" t="s">
        <v>205</v>
      </c>
      <c r="Q141" s="160"/>
      <c r="R141" s="160"/>
      <c r="S141" s="160"/>
      <c r="T141" s="160"/>
      <c r="U141" s="160"/>
      <c r="V141" s="160"/>
      <c r="W141" s="160"/>
    </row>
    <row r="142" spans="16:25" ht="31.5" thickTop="1" thickBot="1" x14ac:dyDescent="0.3">
      <c r="P142" s="91" t="s">
        <v>31</v>
      </c>
      <c r="Q142" s="92" t="s">
        <v>32</v>
      </c>
      <c r="R142" s="92" t="s">
        <v>30</v>
      </c>
      <c r="S142" s="92" t="s">
        <v>85</v>
      </c>
      <c r="T142" s="92" t="s">
        <v>34</v>
      </c>
      <c r="U142" s="93" t="s">
        <v>35</v>
      </c>
      <c r="V142" s="92" t="s">
        <v>84</v>
      </c>
      <c r="W142" s="92" t="s">
        <v>206</v>
      </c>
      <c r="X142" s="92" t="s">
        <v>36</v>
      </c>
      <c r="Y142" s="97" t="s">
        <v>189</v>
      </c>
    </row>
    <row r="143" spans="16:25" ht="15.75" thickTop="1" x14ac:dyDescent="0.25">
      <c r="P143" s="39">
        <v>1</v>
      </c>
      <c r="Q143" s="90">
        <v>100</v>
      </c>
      <c r="R143" s="90">
        <f>+$F$9</f>
        <v>1</v>
      </c>
      <c r="S143" s="90">
        <f>+$L$11*300</f>
        <v>367272.36</v>
      </c>
      <c r="T143" s="90">
        <v>3500000</v>
      </c>
      <c r="U143" s="90">
        <f>(Q143-3000)*350</f>
        <v>-1015000</v>
      </c>
      <c r="V143" s="90">
        <f>200000*R143</f>
        <v>200000</v>
      </c>
      <c r="W143" s="90">
        <f>35*$F$11/10*$H$11/10*$F$9</f>
        <v>275730</v>
      </c>
      <c r="X143" s="90">
        <f>200000*R143</f>
        <v>200000</v>
      </c>
      <c r="Y143" s="94">
        <f t="shared" ref="Y143:Y173" si="38">IF(R143&gt;0,SUM(S143:X143)/Q143,0)</f>
        <v>35280.0236</v>
      </c>
    </row>
    <row r="144" spans="16:25" x14ac:dyDescent="0.25">
      <c r="P144" s="15">
        <f>+P143+1</f>
        <v>2</v>
      </c>
      <c r="Q144" s="69">
        <v>200</v>
      </c>
      <c r="R144" s="69">
        <f>+$F$9</f>
        <v>1</v>
      </c>
      <c r="S144" s="69">
        <f t="shared" ref="S144:S173" si="39">+$L$11*300</f>
        <v>367272.36</v>
      </c>
      <c r="T144" s="69">
        <v>3500000</v>
      </c>
      <c r="U144" s="69">
        <f t="shared" ref="U144:U173" si="40">(Q144-3000)*350</f>
        <v>-980000</v>
      </c>
      <c r="V144" s="69">
        <f t="shared" ref="V144:V173" si="41">200000*R144</f>
        <v>200000</v>
      </c>
      <c r="W144" s="69">
        <v>1142400</v>
      </c>
      <c r="X144" s="69">
        <v>800000</v>
      </c>
      <c r="Y144" s="95">
        <f t="shared" si="38"/>
        <v>25148.361799999999</v>
      </c>
    </row>
    <row r="145" spans="16:25" x14ac:dyDescent="0.25">
      <c r="P145" s="15">
        <f t="shared" ref="P145:P173" si="42">+P144+1</f>
        <v>3</v>
      </c>
      <c r="Q145" s="69">
        <v>300</v>
      </c>
      <c r="R145" s="69">
        <f t="shared" ref="R145:R173" si="43">+$F$9</f>
        <v>1</v>
      </c>
      <c r="S145" s="69">
        <f t="shared" si="39"/>
        <v>367272.36</v>
      </c>
      <c r="T145" s="69">
        <v>3500000</v>
      </c>
      <c r="U145" s="69">
        <f t="shared" si="40"/>
        <v>-945000</v>
      </c>
      <c r="V145" s="69">
        <f t="shared" si="41"/>
        <v>200000</v>
      </c>
      <c r="W145" s="69">
        <v>1142400</v>
      </c>
      <c r="X145" s="69">
        <v>800000</v>
      </c>
      <c r="Y145" s="95">
        <f t="shared" si="38"/>
        <v>16882.241199999997</v>
      </c>
    </row>
    <row r="146" spans="16:25" x14ac:dyDescent="0.25">
      <c r="P146" s="15">
        <f t="shared" si="42"/>
        <v>4</v>
      </c>
      <c r="Q146" s="69">
        <v>500</v>
      </c>
      <c r="R146" s="69">
        <f t="shared" si="43"/>
        <v>1</v>
      </c>
      <c r="S146" s="69">
        <f t="shared" si="39"/>
        <v>367272.36</v>
      </c>
      <c r="T146" s="69">
        <v>3500000</v>
      </c>
      <c r="U146" s="69">
        <f t="shared" si="40"/>
        <v>-875000</v>
      </c>
      <c r="V146" s="69">
        <f t="shared" si="41"/>
        <v>200000</v>
      </c>
      <c r="W146" s="69">
        <v>1142400</v>
      </c>
      <c r="X146" s="69">
        <v>800000</v>
      </c>
      <c r="Y146" s="95">
        <f t="shared" si="38"/>
        <v>10269.344719999999</v>
      </c>
    </row>
    <row r="147" spans="16:25" x14ac:dyDescent="0.25">
      <c r="P147" s="15">
        <f t="shared" si="42"/>
        <v>5</v>
      </c>
      <c r="Q147" s="69">
        <v>1000</v>
      </c>
      <c r="R147" s="69">
        <f t="shared" si="43"/>
        <v>1</v>
      </c>
      <c r="S147" s="69">
        <f t="shared" si="39"/>
        <v>367272.36</v>
      </c>
      <c r="T147" s="69">
        <v>3500000</v>
      </c>
      <c r="U147" s="69">
        <f t="shared" si="40"/>
        <v>-700000</v>
      </c>
      <c r="V147" s="69">
        <f t="shared" si="41"/>
        <v>200000</v>
      </c>
      <c r="W147" s="69">
        <v>1142400</v>
      </c>
      <c r="X147" s="69">
        <v>800000</v>
      </c>
      <c r="Y147" s="95">
        <f t="shared" si="38"/>
        <v>5309.6723599999996</v>
      </c>
    </row>
    <row r="148" spans="16:25" x14ac:dyDescent="0.25">
      <c r="P148" s="15">
        <f t="shared" si="42"/>
        <v>6</v>
      </c>
      <c r="Q148" s="69">
        <v>2000</v>
      </c>
      <c r="R148" s="69">
        <f t="shared" si="43"/>
        <v>1</v>
      </c>
      <c r="S148" s="69">
        <f t="shared" si="39"/>
        <v>367272.36</v>
      </c>
      <c r="T148" s="69">
        <v>3500000</v>
      </c>
      <c r="U148" s="69">
        <f t="shared" si="40"/>
        <v>-350000</v>
      </c>
      <c r="V148" s="69">
        <f t="shared" si="41"/>
        <v>200000</v>
      </c>
      <c r="W148" s="69">
        <v>1142400</v>
      </c>
      <c r="X148" s="69">
        <v>800000</v>
      </c>
      <c r="Y148" s="95">
        <f t="shared" si="38"/>
        <v>2829.8361799999998</v>
      </c>
    </row>
    <row r="149" spans="16:25" x14ac:dyDescent="0.25">
      <c r="P149" s="15">
        <f t="shared" si="42"/>
        <v>7</v>
      </c>
      <c r="Q149" s="69">
        <v>3000</v>
      </c>
      <c r="R149" s="69">
        <f t="shared" si="43"/>
        <v>1</v>
      </c>
      <c r="S149" s="69">
        <f t="shared" si="39"/>
        <v>367272.36</v>
      </c>
      <c r="T149" s="69">
        <v>3500000</v>
      </c>
      <c r="U149" s="69">
        <f t="shared" si="40"/>
        <v>0</v>
      </c>
      <c r="V149" s="69">
        <f t="shared" si="41"/>
        <v>200000</v>
      </c>
      <c r="W149" s="69">
        <v>1142400</v>
      </c>
      <c r="X149" s="69">
        <v>800000</v>
      </c>
      <c r="Y149" s="95">
        <f t="shared" si="38"/>
        <v>2003.2241199999999</v>
      </c>
    </row>
    <row r="150" spans="16:25" x14ac:dyDescent="0.25">
      <c r="P150" s="15">
        <f t="shared" si="42"/>
        <v>8</v>
      </c>
      <c r="Q150" s="69">
        <v>4000</v>
      </c>
      <c r="R150" s="69">
        <f t="shared" si="43"/>
        <v>1</v>
      </c>
      <c r="S150" s="69">
        <f t="shared" si="39"/>
        <v>367272.36</v>
      </c>
      <c r="T150" s="69">
        <v>3500000</v>
      </c>
      <c r="U150" s="69">
        <f t="shared" si="40"/>
        <v>350000</v>
      </c>
      <c r="V150" s="69">
        <f t="shared" si="41"/>
        <v>200000</v>
      </c>
      <c r="W150" s="69">
        <v>1142400</v>
      </c>
      <c r="X150" s="69">
        <v>800000</v>
      </c>
      <c r="Y150" s="95">
        <f t="shared" si="38"/>
        <v>1589.9180899999999</v>
      </c>
    </row>
    <row r="151" spans="16:25" x14ac:dyDescent="0.25">
      <c r="P151" s="15">
        <f t="shared" si="42"/>
        <v>9</v>
      </c>
      <c r="Q151" s="69">
        <v>5000</v>
      </c>
      <c r="R151" s="69">
        <f t="shared" si="43"/>
        <v>1</v>
      </c>
      <c r="S151" s="69">
        <f t="shared" si="39"/>
        <v>367272.36</v>
      </c>
      <c r="T151" s="69">
        <v>3500000</v>
      </c>
      <c r="U151" s="69">
        <f t="shared" si="40"/>
        <v>700000</v>
      </c>
      <c r="V151" s="69">
        <f t="shared" si="41"/>
        <v>200000</v>
      </c>
      <c r="W151" s="69">
        <v>1142400</v>
      </c>
      <c r="X151" s="69">
        <v>800000</v>
      </c>
      <c r="Y151" s="95">
        <f t="shared" si="38"/>
        <v>1341.9344719999999</v>
      </c>
    </row>
    <row r="152" spans="16:25" x14ac:dyDescent="0.25">
      <c r="P152" s="15">
        <f t="shared" si="42"/>
        <v>10</v>
      </c>
      <c r="Q152" s="69">
        <v>6000</v>
      </c>
      <c r="R152" s="69">
        <f t="shared" si="43"/>
        <v>1</v>
      </c>
      <c r="S152" s="69">
        <f t="shared" si="39"/>
        <v>367272.36</v>
      </c>
      <c r="T152" s="69">
        <v>3500000</v>
      </c>
      <c r="U152" s="69">
        <f t="shared" si="40"/>
        <v>1050000</v>
      </c>
      <c r="V152" s="69">
        <f t="shared" si="41"/>
        <v>200000</v>
      </c>
      <c r="W152" s="69">
        <v>1142400</v>
      </c>
      <c r="X152" s="69">
        <f>+$X$151*Q152/$Q$151</f>
        <v>960000</v>
      </c>
      <c r="Y152" s="95">
        <f t="shared" si="38"/>
        <v>1203.2787266666667</v>
      </c>
    </row>
    <row r="153" spans="16:25" x14ac:dyDescent="0.25">
      <c r="P153" s="15">
        <f t="shared" si="42"/>
        <v>11</v>
      </c>
      <c r="Q153" s="69">
        <v>7000</v>
      </c>
      <c r="R153" s="69">
        <f t="shared" si="43"/>
        <v>1</v>
      </c>
      <c r="S153" s="69">
        <f t="shared" si="39"/>
        <v>367272.36</v>
      </c>
      <c r="T153" s="69">
        <v>3500000</v>
      </c>
      <c r="U153" s="69">
        <f t="shared" si="40"/>
        <v>1400000</v>
      </c>
      <c r="V153" s="69">
        <f t="shared" si="41"/>
        <v>200000</v>
      </c>
      <c r="W153" s="69">
        <v>1142400</v>
      </c>
      <c r="X153" s="69">
        <f t="shared" ref="X153:X173" si="44">+$X$151*Q153/$Q$151</f>
        <v>1120000</v>
      </c>
      <c r="Y153" s="95">
        <f t="shared" si="38"/>
        <v>1104.2389085714285</v>
      </c>
    </row>
    <row r="154" spans="16:25" x14ac:dyDescent="0.25">
      <c r="P154" s="15">
        <f t="shared" si="42"/>
        <v>12</v>
      </c>
      <c r="Q154" s="69">
        <v>8000</v>
      </c>
      <c r="R154" s="69">
        <f t="shared" si="43"/>
        <v>1</v>
      </c>
      <c r="S154" s="69">
        <f t="shared" si="39"/>
        <v>367272.36</v>
      </c>
      <c r="T154" s="69">
        <v>3500000</v>
      </c>
      <c r="U154" s="69">
        <f t="shared" si="40"/>
        <v>1750000</v>
      </c>
      <c r="V154" s="69">
        <f t="shared" si="41"/>
        <v>200000</v>
      </c>
      <c r="W154" s="69">
        <v>1142400</v>
      </c>
      <c r="X154" s="69">
        <f t="shared" si="44"/>
        <v>1280000</v>
      </c>
      <c r="Y154" s="95">
        <f t="shared" si="38"/>
        <v>1029.9590449999998</v>
      </c>
    </row>
    <row r="155" spans="16:25" x14ac:dyDescent="0.25">
      <c r="P155" s="15">
        <f t="shared" si="42"/>
        <v>13</v>
      </c>
      <c r="Q155" s="69">
        <v>10000</v>
      </c>
      <c r="R155" s="69">
        <f t="shared" si="43"/>
        <v>1</v>
      </c>
      <c r="S155" s="69">
        <f t="shared" si="39"/>
        <v>367272.36</v>
      </c>
      <c r="T155" s="69">
        <v>3500000</v>
      </c>
      <c r="U155" s="69">
        <f t="shared" si="40"/>
        <v>2450000</v>
      </c>
      <c r="V155" s="69">
        <f t="shared" si="41"/>
        <v>200000</v>
      </c>
      <c r="W155" s="69">
        <v>1142400</v>
      </c>
      <c r="X155" s="69">
        <f t="shared" si="44"/>
        <v>1600000</v>
      </c>
      <c r="Y155" s="95">
        <f t="shared" si="38"/>
        <v>925.96723599999996</v>
      </c>
    </row>
    <row r="156" spans="16:25" x14ac:dyDescent="0.25">
      <c r="P156" s="15">
        <f t="shared" si="42"/>
        <v>14</v>
      </c>
      <c r="Q156" s="69">
        <v>15000</v>
      </c>
      <c r="R156" s="69">
        <f t="shared" si="43"/>
        <v>1</v>
      </c>
      <c r="S156" s="69">
        <f t="shared" si="39"/>
        <v>367272.36</v>
      </c>
      <c r="T156" s="69">
        <v>3500000</v>
      </c>
      <c r="U156" s="69">
        <f t="shared" si="40"/>
        <v>4200000</v>
      </c>
      <c r="V156" s="69">
        <f t="shared" si="41"/>
        <v>200000</v>
      </c>
      <c r="W156" s="69">
        <v>1142400</v>
      </c>
      <c r="X156" s="69">
        <f t="shared" si="44"/>
        <v>2400000</v>
      </c>
      <c r="Y156" s="95">
        <f t="shared" si="38"/>
        <v>787.3114906666666</v>
      </c>
    </row>
    <row r="157" spans="16:25" x14ac:dyDescent="0.25">
      <c r="P157" s="15">
        <f t="shared" si="42"/>
        <v>15</v>
      </c>
      <c r="Q157" s="69">
        <v>20000</v>
      </c>
      <c r="R157" s="69">
        <f t="shared" si="43"/>
        <v>1</v>
      </c>
      <c r="S157" s="69">
        <f t="shared" si="39"/>
        <v>367272.36</v>
      </c>
      <c r="T157" s="69">
        <v>3500000</v>
      </c>
      <c r="U157" s="69">
        <f t="shared" si="40"/>
        <v>5950000</v>
      </c>
      <c r="V157" s="69">
        <f t="shared" si="41"/>
        <v>200000</v>
      </c>
      <c r="W157" s="69">
        <v>1142400</v>
      </c>
      <c r="X157" s="69">
        <f t="shared" si="44"/>
        <v>3200000</v>
      </c>
      <c r="Y157" s="95">
        <f t="shared" si="38"/>
        <v>717.98361799999998</v>
      </c>
    </row>
    <row r="158" spans="16:25" x14ac:dyDescent="0.25">
      <c r="P158" s="15">
        <f t="shared" si="42"/>
        <v>16</v>
      </c>
      <c r="Q158" s="69">
        <v>25000</v>
      </c>
      <c r="R158" s="69">
        <f t="shared" si="43"/>
        <v>1</v>
      </c>
      <c r="S158" s="69">
        <f t="shared" si="39"/>
        <v>367272.36</v>
      </c>
      <c r="T158" s="69">
        <v>3500000</v>
      </c>
      <c r="U158" s="69">
        <f t="shared" si="40"/>
        <v>7700000</v>
      </c>
      <c r="V158" s="69">
        <f t="shared" si="41"/>
        <v>200000</v>
      </c>
      <c r="W158" s="69">
        <v>1142400</v>
      </c>
      <c r="X158" s="69">
        <f t="shared" si="44"/>
        <v>4000000</v>
      </c>
      <c r="Y158" s="95">
        <f t="shared" si="38"/>
        <v>676.38689439999996</v>
      </c>
    </row>
    <row r="159" spans="16:25" x14ac:dyDescent="0.25">
      <c r="P159" s="15">
        <f t="shared" si="42"/>
        <v>17</v>
      </c>
      <c r="Q159" s="69">
        <v>30000</v>
      </c>
      <c r="R159" s="69">
        <f t="shared" si="43"/>
        <v>1</v>
      </c>
      <c r="S159" s="69">
        <f t="shared" si="39"/>
        <v>367272.36</v>
      </c>
      <c r="T159" s="69">
        <v>3500000</v>
      </c>
      <c r="U159" s="69">
        <f t="shared" si="40"/>
        <v>9450000</v>
      </c>
      <c r="V159" s="69">
        <f t="shared" si="41"/>
        <v>200000</v>
      </c>
      <c r="W159" s="69">
        <v>1142400</v>
      </c>
      <c r="X159" s="69">
        <f t="shared" si="44"/>
        <v>4800000</v>
      </c>
      <c r="Y159" s="95">
        <f t="shared" si="38"/>
        <v>648.65574533333336</v>
      </c>
    </row>
    <row r="160" spans="16:25" x14ac:dyDescent="0.25">
      <c r="P160" s="15">
        <f t="shared" si="42"/>
        <v>18</v>
      </c>
      <c r="Q160" s="69">
        <v>35000</v>
      </c>
      <c r="R160" s="69">
        <f t="shared" si="43"/>
        <v>1</v>
      </c>
      <c r="S160" s="69">
        <f t="shared" si="39"/>
        <v>367272.36</v>
      </c>
      <c r="T160" s="69">
        <v>3500000</v>
      </c>
      <c r="U160" s="69">
        <f t="shared" si="40"/>
        <v>11200000</v>
      </c>
      <c r="V160" s="69">
        <f t="shared" si="41"/>
        <v>200000</v>
      </c>
      <c r="W160" s="69">
        <v>1142400</v>
      </c>
      <c r="X160" s="69">
        <f t="shared" si="44"/>
        <v>5600000</v>
      </c>
      <c r="Y160" s="95">
        <f t="shared" si="38"/>
        <v>628.8477817142857</v>
      </c>
    </row>
    <row r="161" spans="16:25" x14ac:dyDescent="0.25">
      <c r="P161" s="15">
        <f t="shared" si="42"/>
        <v>19</v>
      </c>
      <c r="Q161" s="69">
        <v>40000</v>
      </c>
      <c r="R161" s="69">
        <f t="shared" si="43"/>
        <v>1</v>
      </c>
      <c r="S161" s="69">
        <f t="shared" si="39"/>
        <v>367272.36</v>
      </c>
      <c r="T161" s="69">
        <v>3500000</v>
      </c>
      <c r="U161" s="69">
        <f t="shared" si="40"/>
        <v>12950000</v>
      </c>
      <c r="V161" s="69">
        <f t="shared" si="41"/>
        <v>200000</v>
      </c>
      <c r="W161" s="69">
        <v>1142400</v>
      </c>
      <c r="X161" s="69">
        <f t="shared" si="44"/>
        <v>6400000</v>
      </c>
      <c r="Y161" s="95">
        <f t="shared" si="38"/>
        <v>613.99180899999999</v>
      </c>
    </row>
    <row r="162" spans="16:25" x14ac:dyDescent="0.25">
      <c r="P162" s="15">
        <f t="shared" si="42"/>
        <v>20</v>
      </c>
      <c r="Q162" s="69">
        <v>45000</v>
      </c>
      <c r="R162" s="69">
        <f t="shared" si="43"/>
        <v>1</v>
      </c>
      <c r="S162" s="69">
        <f t="shared" si="39"/>
        <v>367272.36</v>
      </c>
      <c r="T162" s="69">
        <v>3500000</v>
      </c>
      <c r="U162" s="69">
        <f t="shared" si="40"/>
        <v>14700000</v>
      </c>
      <c r="V162" s="69">
        <f t="shared" si="41"/>
        <v>200000</v>
      </c>
      <c r="W162" s="69">
        <v>1142400</v>
      </c>
      <c r="X162" s="69">
        <f t="shared" si="44"/>
        <v>7200000</v>
      </c>
      <c r="Y162" s="95">
        <f t="shared" si="38"/>
        <v>602.43716355555557</v>
      </c>
    </row>
    <row r="163" spans="16:25" x14ac:dyDescent="0.25">
      <c r="P163" s="15">
        <f t="shared" si="42"/>
        <v>21</v>
      </c>
      <c r="Q163" s="69">
        <v>50000</v>
      </c>
      <c r="R163" s="69">
        <f t="shared" si="43"/>
        <v>1</v>
      </c>
      <c r="S163" s="69">
        <f t="shared" si="39"/>
        <v>367272.36</v>
      </c>
      <c r="T163" s="69">
        <v>3500000</v>
      </c>
      <c r="U163" s="69">
        <f t="shared" si="40"/>
        <v>16450000</v>
      </c>
      <c r="V163" s="69">
        <f t="shared" si="41"/>
        <v>200000</v>
      </c>
      <c r="W163" s="69">
        <v>1142400</v>
      </c>
      <c r="X163" s="69">
        <f t="shared" si="44"/>
        <v>8000000</v>
      </c>
      <c r="Y163" s="95">
        <f t="shared" si="38"/>
        <v>593.19344720000004</v>
      </c>
    </row>
    <row r="164" spans="16:25" x14ac:dyDescent="0.25">
      <c r="P164" s="15">
        <f t="shared" si="42"/>
        <v>22</v>
      </c>
      <c r="Q164" s="69">
        <v>55000</v>
      </c>
      <c r="R164" s="69">
        <f t="shared" si="43"/>
        <v>1</v>
      </c>
      <c r="S164" s="69">
        <f t="shared" si="39"/>
        <v>367272.36</v>
      </c>
      <c r="T164" s="69">
        <v>3500000</v>
      </c>
      <c r="U164" s="69">
        <f t="shared" si="40"/>
        <v>18200000</v>
      </c>
      <c r="V164" s="69">
        <f t="shared" si="41"/>
        <v>200000</v>
      </c>
      <c r="W164" s="69">
        <v>1142400</v>
      </c>
      <c r="X164" s="69">
        <f t="shared" si="44"/>
        <v>8800000</v>
      </c>
      <c r="Y164" s="95">
        <f t="shared" si="38"/>
        <v>585.63040654545455</v>
      </c>
    </row>
    <row r="165" spans="16:25" x14ac:dyDescent="0.25">
      <c r="P165" s="15">
        <f t="shared" si="42"/>
        <v>23</v>
      </c>
      <c r="Q165" s="69">
        <v>60000</v>
      </c>
      <c r="R165" s="69">
        <f t="shared" si="43"/>
        <v>1</v>
      </c>
      <c r="S165" s="69">
        <f t="shared" si="39"/>
        <v>367272.36</v>
      </c>
      <c r="T165" s="69">
        <v>3500000</v>
      </c>
      <c r="U165" s="69">
        <f t="shared" si="40"/>
        <v>19950000</v>
      </c>
      <c r="V165" s="69">
        <f t="shared" si="41"/>
        <v>200000</v>
      </c>
      <c r="W165" s="69">
        <v>1142400</v>
      </c>
      <c r="X165" s="69">
        <f t="shared" si="44"/>
        <v>9600000</v>
      </c>
      <c r="Y165" s="95">
        <f t="shared" si="38"/>
        <v>579.32787266666662</v>
      </c>
    </row>
    <row r="166" spans="16:25" x14ac:dyDescent="0.25">
      <c r="P166" s="15">
        <f t="shared" si="42"/>
        <v>24</v>
      </c>
      <c r="Q166" s="69">
        <v>65000</v>
      </c>
      <c r="R166" s="69">
        <f t="shared" si="43"/>
        <v>1</v>
      </c>
      <c r="S166" s="69">
        <f t="shared" si="39"/>
        <v>367272.36</v>
      </c>
      <c r="T166" s="69">
        <v>3500000</v>
      </c>
      <c r="U166" s="69">
        <f t="shared" si="40"/>
        <v>21700000</v>
      </c>
      <c r="V166" s="69">
        <f t="shared" si="41"/>
        <v>200000</v>
      </c>
      <c r="W166" s="69">
        <v>1142400</v>
      </c>
      <c r="X166" s="69">
        <f t="shared" si="44"/>
        <v>10400000</v>
      </c>
      <c r="Y166" s="95">
        <f t="shared" si="38"/>
        <v>573.99495938461541</v>
      </c>
    </row>
    <row r="167" spans="16:25" x14ac:dyDescent="0.25">
      <c r="P167" s="15">
        <f t="shared" si="42"/>
        <v>25</v>
      </c>
      <c r="Q167" s="69">
        <v>70000</v>
      </c>
      <c r="R167" s="69">
        <f t="shared" si="43"/>
        <v>1</v>
      </c>
      <c r="S167" s="69">
        <f t="shared" si="39"/>
        <v>367272.36</v>
      </c>
      <c r="T167" s="69">
        <v>3500000</v>
      </c>
      <c r="U167" s="69">
        <f t="shared" si="40"/>
        <v>23450000</v>
      </c>
      <c r="V167" s="69">
        <f t="shared" si="41"/>
        <v>200000</v>
      </c>
      <c r="W167" s="69">
        <v>1142400</v>
      </c>
      <c r="X167" s="69">
        <f t="shared" si="44"/>
        <v>11200000</v>
      </c>
      <c r="Y167" s="95">
        <f t="shared" si="38"/>
        <v>569.42389085714285</v>
      </c>
    </row>
    <row r="168" spans="16:25" x14ac:dyDescent="0.25">
      <c r="P168" s="15">
        <f t="shared" si="42"/>
        <v>26</v>
      </c>
      <c r="Q168" s="69">
        <v>75000</v>
      </c>
      <c r="R168" s="69">
        <f t="shared" si="43"/>
        <v>1</v>
      </c>
      <c r="S168" s="69">
        <f t="shared" si="39"/>
        <v>367272.36</v>
      </c>
      <c r="T168" s="69">
        <v>3500000</v>
      </c>
      <c r="U168" s="69">
        <f t="shared" si="40"/>
        <v>25200000</v>
      </c>
      <c r="V168" s="69">
        <f t="shared" si="41"/>
        <v>200000</v>
      </c>
      <c r="W168" s="69">
        <v>1142400</v>
      </c>
      <c r="X168" s="69">
        <f t="shared" si="44"/>
        <v>12000000</v>
      </c>
      <c r="Y168" s="95">
        <f t="shared" si="38"/>
        <v>565.46229813333332</v>
      </c>
    </row>
    <row r="169" spans="16:25" x14ac:dyDescent="0.25">
      <c r="P169" s="15">
        <f t="shared" si="42"/>
        <v>27</v>
      </c>
      <c r="Q169" s="69">
        <v>80000</v>
      </c>
      <c r="R169" s="69">
        <f t="shared" si="43"/>
        <v>1</v>
      </c>
      <c r="S169" s="69">
        <f t="shared" si="39"/>
        <v>367272.36</v>
      </c>
      <c r="T169" s="69">
        <v>3500000</v>
      </c>
      <c r="U169" s="69">
        <f t="shared" si="40"/>
        <v>26950000</v>
      </c>
      <c r="V169" s="69">
        <f t="shared" si="41"/>
        <v>200000</v>
      </c>
      <c r="W169" s="69">
        <v>1142400</v>
      </c>
      <c r="X169" s="69">
        <f t="shared" si="44"/>
        <v>12800000</v>
      </c>
      <c r="Y169" s="95">
        <f t="shared" si="38"/>
        <v>561.99590449999994</v>
      </c>
    </row>
    <row r="170" spans="16:25" x14ac:dyDescent="0.25">
      <c r="P170" s="15">
        <f t="shared" si="42"/>
        <v>28</v>
      </c>
      <c r="Q170" s="69">
        <v>85000</v>
      </c>
      <c r="R170" s="69">
        <f t="shared" si="43"/>
        <v>1</v>
      </c>
      <c r="S170" s="69">
        <f t="shared" si="39"/>
        <v>367272.36</v>
      </c>
      <c r="T170" s="69">
        <v>3500000</v>
      </c>
      <c r="U170" s="69">
        <f t="shared" si="40"/>
        <v>28700000</v>
      </c>
      <c r="V170" s="69">
        <f t="shared" si="41"/>
        <v>200000</v>
      </c>
      <c r="W170" s="69">
        <v>1142400</v>
      </c>
      <c r="X170" s="69">
        <f t="shared" si="44"/>
        <v>13600000</v>
      </c>
      <c r="Y170" s="95">
        <f t="shared" si="38"/>
        <v>558.93732188235299</v>
      </c>
    </row>
    <row r="171" spans="16:25" x14ac:dyDescent="0.25">
      <c r="P171" s="15">
        <f t="shared" si="42"/>
        <v>29</v>
      </c>
      <c r="Q171" s="69">
        <v>90000</v>
      </c>
      <c r="R171" s="69">
        <f t="shared" si="43"/>
        <v>1</v>
      </c>
      <c r="S171" s="69">
        <f t="shared" si="39"/>
        <v>367272.36</v>
      </c>
      <c r="T171" s="69">
        <v>3500000</v>
      </c>
      <c r="U171" s="69">
        <f t="shared" si="40"/>
        <v>30450000</v>
      </c>
      <c r="V171" s="69">
        <f t="shared" si="41"/>
        <v>200000</v>
      </c>
      <c r="W171" s="69">
        <v>1142400</v>
      </c>
      <c r="X171" s="69">
        <f t="shared" si="44"/>
        <v>14400000</v>
      </c>
      <c r="Y171" s="95">
        <f t="shared" si="38"/>
        <v>556.21858177777779</v>
      </c>
    </row>
    <row r="172" spans="16:25" x14ac:dyDescent="0.25">
      <c r="P172" s="15">
        <f t="shared" si="42"/>
        <v>30</v>
      </c>
      <c r="Q172" s="69">
        <v>95000</v>
      </c>
      <c r="R172" s="69">
        <f t="shared" si="43"/>
        <v>1</v>
      </c>
      <c r="S172" s="69">
        <f t="shared" si="39"/>
        <v>367272.36</v>
      </c>
      <c r="T172" s="69">
        <v>3500000</v>
      </c>
      <c r="U172" s="69">
        <f t="shared" si="40"/>
        <v>32200000</v>
      </c>
      <c r="V172" s="69">
        <f t="shared" si="41"/>
        <v>200000</v>
      </c>
      <c r="W172" s="69">
        <v>1142400</v>
      </c>
      <c r="X172" s="69">
        <f t="shared" si="44"/>
        <v>15200000</v>
      </c>
      <c r="Y172" s="95">
        <f t="shared" si="38"/>
        <v>553.78602484210523</v>
      </c>
    </row>
    <row r="173" spans="16:25" ht="15.75" thickBot="1" x14ac:dyDescent="0.3">
      <c r="P173" s="16">
        <f t="shared" si="42"/>
        <v>31</v>
      </c>
      <c r="Q173" s="72">
        <v>100000</v>
      </c>
      <c r="R173" s="72">
        <f t="shared" si="43"/>
        <v>1</v>
      </c>
      <c r="S173" s="72">
        <f t="shared" si="39"/>
        <v>367272.36</v>
      </c>
      <c r="T173" s="72">
        <v>3500000</v>
      </c>
      <c r="U173" s="72">
        <f t="shared" si="40"/>
        <v>33950000</v>
      </c>
      <c r="V173" s="72">
        <f t="shared" si="41"/>
        <v>200000</v>
      </c>
      <c r="W173" s="72">
        <v>1142400</v>
      </c>
      <c r="X173" s="72">
        <f t="shared" si="44"/>
        <v>16000000</v>
      </c>
      <c r="Y173" s="96">
        <f t="shared" si="38"/>
        <v>551.59672360000002</v>
      </c>
    </row>
    <row r="174" spans="16:25" ht="15.75" thickTop="1" x14ac:dyDescent="0.25"/>
  </sheetData>
  <mergeCells count="53">
    <mergeCell ref="P106:W106"/>
    <mergeCell ref="P141:W141"/>
    <mergeCell ref="F34:H34"/>
    <mergeCell ref="A42:K42"/>
    <mergeCell ref="P71:W71"/>
    <mergeCell ref="A43:K43"/>
    <mergeCell ref="A44:K44"/>
    <mergeCell ref="A45:K45"/>
    <mergeCell ref="A36:K36"/>
    <mergeCell ref="A38:K38"/>
    <mergeCell ref="A34:E34"/>
    <mergeCell ref="A39:K39"/>
    <mergeCell ref="B1:L1"/>
    <mergeCell ref="F7:G7"/>
    <mergeCell ref="D10:E10"/>
    <mergeCell ref="F10:H10"/>
    <mergeCell ref="D11:E11"/>
    <mergeCell ref="D12:E12"/>
    <mergeCell ref="D14:E14"/>
    <mergeCell ref="D15:E15"/>
    <mergeCell ref="D16:E16"/>
    <mergeCell ref="D17:E17"/>
    <mergeCell ref="D13:E13"/>
    <mergeCell ref="D18:E18"/>
    <mergeCell ref="A40:K40"/>
    <mergeCell ref="A41:K41"/>
    <mergeCell ref="A37:K37"/>
    <mergeCell ref="F23:H23"/>
    <mergeCell ref="A24:E24"/>
    <mergeCell ref="F24:H24"/>
    <mergeCell ref="A35:K35"/>
    <mergeCell ref="A26:E26"/>
    <mergeCell ref="F26:H26"/>
    <mergeCell ref="A27:E27"/>
    <mergeCell ref="F27:H27"/>
    <mergeCell ref="A28:E28"/>
    <mergeCell ref="F28:H28"/>
    <mergeCell ref="A25:E25"/>
    <mergeCell ref="A33:E33"/>
    <mergeCell ref="F33:H33"/>
    <mergeCell ref="D19:E19"/>
    <mergeCell ref="A29:E29"/>
    <mergeCell ref="A30:E30"/>
    <mergeCell ref="A32:E32"/>
    <mergeCell ref="F29:H29"/>
    <mergeCell ref="F30:H30"/>
    <mergeCell ref="F32:H32"/>
    <mergeCell ref="A23:E23"/>
    <mergeCell ref="D20:E20"/>
    <mergeCell ref="F25:H25"/>
    <mergeCell ref="A31:E31"/>
    <mergeCell ref="F31:H31"/>
    <mergeCell ref="A21:H21"/>
  </mergeCells>
  <pageMargins left="8.9285714285714288E-2" right="7.4404761904761904E-2" top="6.25E-2" bottom="6.25E-2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K56"/>
  <sheetViews>
    <sheetView view="pageLayout" topLeftCell="A22" zoomScale="115" zoomScaleNormal="100" zoomScalePageLayoutView="115" workbookViewId="0">
      <selection activeCell="J49" sqref="J49"/>
    </sheetView>
  </sheetViews>
  <sheetFormatPr defaultRowHeight="15" x14ac:dyDescent="0.25"/>
  <cols>
    <col min="1" max="1" width="8.7109375" customWidth="1"/>
    <col min="2" max="2" width="14.28515625" customWidth="1"/>
    <col min="3" max="3" width="2.28515625" customWidth="1"/>
    <col min="4" max="4" width="6.5703125" customWidth="1"/>
    <col min="5" max="8" width="4.85546875" customWidth="1"/>
    <col min="9" max="9" width="18.7109375" customWidth="1"/>
    <col min="10" max="10" width="13.42578125" customWidth="1"/>
    <col min="11" max="11" width="18.7109375" customWidth="1"/>
  </cols>
  <sheetData>
    <row r="10" spans="1:11" ht="21" x14ac:dyDescent="0.25">
      <c r="A10" s="180" t="s">
        <v>54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</row>
    <row r="12" spans="1:11" x14ac:dyDescent="0.25">
      <c r="B12" s="42" t="s">
        <v>31</v>
      </c>
      <c r="C12" s="42" t="s">
        <v>2</v>
      </c>
      <c r="D12" s="42" t="s">
        <v>209</v>
      </c>
    </row>
    <row r="13" spans="1:11" x14ac:dyDescent="0.25">
      <c r="B13" s="42" t="s">
        <v>55</v>
      </c>
      <c r="C13" s="42" t="s">
        <v>2</v>
      </c>
      <c r="D13" s="42" t="str">
        <f>+PEOM!F2</f>
        <v>PT. Bio Cycle Indo</v>
      </c>
    </row>
    <row r="14" spans="1:11" x14ac:dyDescent="0.25">
      <c r="B14" s="47"/>
      <c r="C14" s="42"/>
      <c r="D14" s="42" t="str">
        <f>+PEOM!F3</f>
        <v>Ibu Trisni</v>
      </c>
    </row>
    <row r="16" spans="1:11" x14ac:dyDescent="0.25">
      <c r="B16" s="42" t="s">
        <v>56</v>
      </c>
    </row>
    <row r="17" spans="2:11" x14ac:dyDescent="0.25">
      <c r="B17" s="42" t="s">
        <v>57</v>
      </c>
    </row>
    <row r="18" spans="2:11" ht="15.75" thickBot="1" x14ac:dyDescent="0.3"/>
    <row r="19" spans="2:11" ht="16.5" thickTop="1" thickBot="1" x14ac:dyDescent="0.3">
      <c r="B19" s="181" t="s">
        <v>58</v>
      </c>
      <c r="C19" s="182"/>
      <c r="D19" s="182"/>
      <c r="E19" s="182"/>
      <c r="F19" s="182"/>
      <c r="G19" s="182"/>
      <c r="H19" s="182"/>
      <c r="I19" s="182"/>
      <c r="J19" s="182" t="s">
        <v>33</v>
      </c>
      <c r="K19" s="183"/>
    </row>
    <row r="20" spans="2:11" ht="15.75" thickTop="1" x14ac:dyDescent="0.25">
      <c r="B20" s="49" t="str">
        <f>+PEOM!F4</f>
        <v>Insect Meal 25 Kg</v>
      </c>
      <c r="C20" s="43"/>
      <c r="D20" s="43"/>
      <c r="E20" s="43"/>
      <c r="F20" s="43"/>
      <c r="G20" s="43"/>
      <c r="H20" s="43"/>
      <c r="I20" s="43"/>
      <c r="J20" s="52"/>
      <c r="K20" s="53"/>
    </row>
    <row r="21" spans="2:11" x14ac:dyDescent="0.25">
      <c r="B21" s="50" t="s">
        <v>75</v>
      </c>
      <c r="C21" t="s">
        <v>2</v>
      </c>
      <c r="D21" s="18">
        <f>+PEOM!F6</f>
        <v>720</v>
      </c>
      <c r="E21" s="18" t="s">
        <v>76</v>
      </c>
      <c r="F21" s="18">
        <f>+PEOM!G6</f>
        <v>490</v>
      </c>
      <c r="G21" s="18" t="s">
        <v>76</v>
      </c>
      <c r="H21" s="18">
        <f>+PEOM!H6</f>
        <v>120</v>
      </c>
      <c r="I21" t="s">
        <v>77</v>
      </c>
      <c r="J21" s="54"/>
      <c r="K21" s="55"/>
    </row>
    <row r="22" spans="2:11" x14ac:dyDescent="0.25">
      <c r="B22" s="44" t="s">
        <v>14</v>
      </c>
      <c r="C22" s="43" t="s">
        <v>2</v>
      </c>
      <c r="D22" s="43"/>
      <c r="E22" s="43"/>
      <c r="F22" s="43"/>
      <c r="G22" s="43"/>
      <c r="H22" s="43"/>
      <c r="I22" s="43"/>
      <c r="J22" s="54"/>
      <c r="K22" s="55"/>
    </row>
    <row r="23" spans="2:11" x14ac:dyDescent="0.25">
      <c r="B23" s="44" t="s">
        <v>69</v>
      </c>
      <c r="C23" s="43" t="s">
        <v>2</v>
      </c>
      <c r="D23" s="60" t="str">
        <f>+VLOOKUP(PEOM!C11,PEOM!$P$3:$W$69,3,FALSE)</f>
        <v>White Sack Kraft HP</v>
      </c>
      <c r="E23" s="43"/>
      <c r="F23" s="43"/>
      <c r="G23" s="43"/>
      <c r="H23" s="43">
        <f>+VLOOKUP(PEOM!C11,PEOM!$P$3:$W$69,4,FALSE)</f>
        <v>70</v>
      </c>
      <c r="I23" s="43" t="s">
        <v>70</v>
      </c>
      <c r="J23" s="54"/>
      <c r="K23" s="55"/>
    </row>
    <row r="24" spans="2:11" x14ac:dyDescent="0.25">
      <c r="B24" s="44" t="s">
        <v>71</v>
      </c>
      <c r="C24" s="43" t="s">
        <v>2</v>
      </c>
      <c r="D24" s="60" t="str">
        <f>+VLOOKUP(PEOM!C12,PEOM!$P$3:$W$69,3,FALSE)</f>
        <v>Brown Kraft</v>
      </c>
      <c r="E24" s="43"/>
      <c r="F24" s="43"/>
      <c r="G24" s="43"/>
      <c r="H24" s="43">
        <f>+VLOOKUP(PEOM!C12,PEOM!$P$3:$W$69,4,FALSE)</f>
        <v>72</v>
      </c>
      <c r="I24" s="43" t="s">
        <v>70</v>
      </c>
      <c r="J24" s="54"/>
      <c r="K24" s="55"/>
    </row>
    <row r="25" spans="2:11" x14ac:dyDescent="0.25">
      <c r="B25" s="44" t="s">
        <v>73</v>
      </c>
      <c r="C25" s="43" t="s">
        <v>2</v>
      </c>
      <c r="D25" s="60" t="str">
        <f>+VLOOKUP(PEOM!C13,PEOM!$P$3:$W$69,3,FALSE)</f>
        <v>Brown Kraft</v>
      </c>
      <c r="E25" s="43"/>
      <c r="F25" s="43"/>
      <c r="G25" s="43"/>
      <c r="H25" s="43">
        <f>+VLOOKUP(PEOM!C13,PEOM!$P$3:$W$69,4,FALSE)</f>
        <v>72</v>
      </c>
      <c r="I25" s="43" t="s">
        <v>70</v>
      </c>
      <c r="J25" s="58">
        <f>+PEOM!L43</f>
        <v>5500</v>
      </c>
      <c r="K25" s="59" t="s">
        <v>82</v>
      </c>
    </row>
    <row r="26" spans="2:11" x14ac:dyDescent="0.25">
      <c r="B26" s="44" t="s">
        <v>74</v>
      </c>
      <c r="C26" s="43" t="s">
        <v>2</v>
      </c>
      <c r="D26" s="60" t="str">
        <f>+VLOOKUP(PEOM!C14,PEOM!$P$3:$W$69,3,FALSE)</f>
        <v>Brown Kraft</v>
      </c>
      <c r="E26" s="43"/>
      <c r="F26" s="43"/>
      <c r="G26" s="43"/>
      <c r="H26" s="43">
        <f>+VLOOKUP(PEOM!C14,PEOM!$P$3:$W$69,4,FALSE)</f>
        <v>72</v>
      </c>
      <c r="I26" s="43" t="s">
        <v>70</v>
      </c>
      <c r="J26" s="87"/>
      <c r="K26" s="88"/>
    </row>
    <row r="27" spans="2:11" x14ac:dyDescent="0.25">
      <c r="B27" s="44" t="s">
        <v>168</v>
      </c>
      <c r="C27" s="43" t="s">
        <v>2</v>
      </c>
      <c r="D27" s="60" t="str">
        <f>+VLOOKUP(PEOM!C15,PEOM!$P$3:$W$69,3,FALSE)</f>
        <v>Plastik HDPE</v>
      </c>
      <c r="E27" s="43"/>
      <c r="F27" s="43"/>
      <c r="G27" s="43"/>
      <c r="H27" s="43">
        <f>+VLOOKUP(PEOM!C15,PEOM!$P$3:$W$69,4,FALSE)</f>
        <v>20</v>
      </c>
      <c r="I27" s="43" t="s">
        <v>72</v>
      </c>
      <c r="J27" s="54"/>
      <c r="K27" s="55"/>
    </row>
    <row r="28" spans="2:11" x14ac:dyDescent="0.25">
      <c r="B28" s="44"/>
      <c r="C28" s="43"/>
      <c r="D28" s="60">
        <f>IF($D$27&gt;0,PEOM!H15,0)</f>
        <v>900</v>
      </c>
      <c r="E28" s="51" t="s">
        <v>76</v>
      </c>
      <c r="F28" s="51">
        <f>IF($D$27&gt;0,PEOM!G6,0)</f>
        <v>490</v>
      </c>
      <c r="G28" s="51" t="s">
        <v>76</v>
      </c>
      <c r="H28" s="51">
        <f>IF($D$27&gt;0,PEOM!I6,0)</f>
        <v>0</v>
      </c>
      <c r="I28" s="43" t="s">
        <v>77</v>
      </c>
      <c r="J28" s="54"/>
      <c r="K28" s="55"/>
    </row>
    <row r="29" spans="2:11" x14ac:dyDescent="0.25">
      <c r="B29" s="44" t="s">
        <v>78</v>
      </c>
      <c r="C29" s="43" t="s">
        <v>2</v>
      </c>
      <c r="D29" s="60">
        <f>+PEOM!F9</f>
        <v>1</v>
      </c>
      <c r="E29" s="43" t="s">
        <v>29</v>
      </c>
      <c r="F29" s="43"/>
      <c r="G29" s="43"/>
      <c r="H29" s="43"/>
      <c r="I29" s="43"/>
      <c r="J29" s="54"/>
      <c r="K29" s="55"/>
    </row>
    <row r="30" spans="2:11" x14ac:dyDescent="0.25">
      <c r="B30" s="44" t="s">
        <v>79</v>
      </c>
      <c r="C30" s="43" t="s">
        <v>2</v>
      </c>
      <c r="D30" s="43" t="str">
        <f>+PEOM!F5</f>
        <v>PEOM</v>
      </c>
      <c r="E30" s="43"/>
      <c r="F30" s="43"/>
      <c r="G30" s="43"/>
      <c r="H30" s="43"/>
      <c r="I30" s="43"/>
      <c r="J30" s="54"/>
      <c r="K30" s="55"/>
    </row>
    <row r="31" spans="2:11" x14ac:dyDescent="0.25">
      <c r="B31" s="44" t="s">
        <v>80</v>
      </c>
      <c r="C31" s="43" t="s">
        <v>2</v>
      </c>
      <c r="D31" s="184">
        <f>+PEOM!F8</f>
        <v>5000</v>
      </c>
      <c r="E31" s="184"/>
      <c r="F31" s="43" t="s">
        <v>81</v>
      </c>
      <c r="G31" s="43"/>
      <c r="H31" s="43"/>
      <c r="I31" s="43"/>
      <c r="J31" s="54"/>
      <c r="K31" s="55"/>
    </row>
    <row r="32" spans="2:11" ht="15.75" thickBot="1" x14ac:dyDescent="0.3">
      <c r="B32" s="45"/>
      <c r="C32" s="46"/>
      <c r="D32" s="46"/>
      <c r="E32" s="46"/>
      <c r="F32" s="46"/>
      <c r="G32" s="46"/>
      <c r="H32" s="46"/>
      <c r="I32" s="46"/>
      <c r="J32" s="56"/>
      <c r="K32" s="57"/>
    </row>
    <row r="33" spans="2:11" ht="15.75" thickTop="1" x14ac:dyDescent="0.25"/>
    <row r="34" spans="2:11" x14ac:dyDescent="0.25">
      <c r="B34" s="42" t="s">
        <v>59</v>
      </c>
      <c r="C34" s="42"/>
      <c r="D34" s="42"/>
    </row>
    <row r="35" spans="2:11" x14ac:dyDescent="0.25">
      <c r="B35" s="42" t="s">
        <v>60</v>
      </c>
      <c r="C35" s="42"/>
      <c r="D35" s="42"/>
    </row>
    <row r="36" spans="2:11" x14ac:dyDescent="0.25">
      <c r="B36" s="42" t="s">
        <v>61</v>
      </c>
      <c r="C36" s="42"/>
      <c r="D36" s="42"/>
    </row>
    <row r="37" spans="2:11" x14ac:dyDescent="0.25">
      <c r="B37" s="42" t="s">
        <v>62</v>
      </c>
      <c r="C37" s="42"/>
      <c r="D37" s="42"/>
    </row>
    <row r="38" spans="2:11" x14ac:dyDescent="0.25">
      <c r="B38" s="42" t="s">
        <v>63</v>
      </c>
      <c r="C38" s="42"/>
      <c r="D38" s="42"/>
    </row>
    <row r="39" spans="2:11" x14ac:dyDescent="0.25">
      <c r="B39" s="42" t="s">
        <v>194</v>
      </c>
      <c r="C39" s="42"/>
      <c r="D39" s="42"/>
    </row>
    <row r="40" spans="2:11" x14ac:dyDescent="0.25">
      <c r="B40" s="42" t="s">
        <v>195</v>
      </c>
      <c r="C40" s="42"/>
      <c r="D40" s="42"/>
    </row>
    <row r="41" spans="2:11" x14ac:dyDescent="0.25">
      <c r="B41" s="42" t="s">
        <v>196</v>
      </c>
      <c r="C41" s="42"/>
      <c r="D41" s="42"/>
    </row>
    <row r="42" spans="2:11" x14ac:dyDescent="0.25">
      <c r="B42" s="42"/>
      <c r="C42" s="42"/>
      <c r="D42" s="42"/>
    </row>
    <row r="43" spans="2:11" x14ac:dyDescent="0.25">
      <c r="B43" t="s">
        <v>64</v>
      </c>
    </row>
    <row r="44" spans="2:11" x14ac:dyDescent="0.25">
      <c r="B44" s="42" t="s">
        <v>65</v>
      </c>
    </row>
    <row r="45" spans="2:11" x14ac:dyDescent="0.25">
      <c r="B45" s="48" t="s">
        <v>66</v>
      </c>
    </row>
    <row r="47" spans="2:11" x14ac:dyDescent="0.25">
      <c r="B47" s="47"/>
      <c r="J47" s="47" t="s">
        <v>83</v>
      </c>
      <c r="K47" s="89">
        <f>+PEOM!F7</f>
        <v>45167</v>
      </c>
    </row>
    <row r="48" spans="2:11" x14ac:dyDescent="0.25">
      <c r="B48" s="47"/>
      <c r="J48" s="47" t="s">
        <v>67</v>
      </c>
    </row>
    <row r="49" spans="2:10" x14ac:dyDescent="0.25">
      <c r="B49" s="42"/>
      <c r="J49" s="42" t="s">
        <v>234</v>
      </c>
    </row>
    <row r="56" spans="2:10" x14ac:dyDescent="0.25">
      <c r="B56" s="42"/>
      <c r="J56" s="42" t="s">
        <v>68</v>
      </c>
    </row>
  </sheetData>
  <mergeCells count="4">
    <mergeCell ref="A10:K10"/>
    <mergeCell ref="B19:I19"/>
    <mergeCell ref="J19:K19"/>
    <mergeCell ref="D31:E31"/>
  </mergeCells>
  <phoneticPr fontId="13" type="noConversion"/>
  <pageMargins left="5.2083333333333336E-2" right="6.25E-2" top="7.2916666666666671E-2" bottom="6.25E-2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74"/>
  <sheetViews>
    <sheetView view="pageLayout" topLeftCell="I1" zoomScaleNormal="100" workbookViewId="0">
      <selection activeCell="S3" sqref="S3"/>
    </sheetView>
  </sheetViews>
  <sheetFormatPr defaultRowHeight="15" x14ac:dyDescent="0.25"/>
  <cols>
    <col min="1" max="1" width="11.85546875" bestFit="1" customWidth="1"/>
    <col min="2" max="2" width="21.28515625" customWidth="1"/>
    <col min="3" max="3" width="6" customWidth="1"/>
    <col min="4" max="4" width="4.7109375" customWidth="1"/>
    <col min="5" max="5" width="1.7109375" customWidth="1"/>
    <col min="6" max="6" width="6.5703125" style="18" customWidth="1"/>
    <col min="7" max="7" width="5.7109375" style="18" customWidth="1"/>
    <col min="8" max="8" width="7.28515625" style="18" customWidth="1"/>
    <col min="9" max="9" width="10.140625" customWidth="1"/>
    <col min="10" max="10" width="6.140625" customWidth="1"/>
    <col min="11" max="11" width="12.85546875" customWidth="1"/>
    <col min="12" max="12" width="14.5703125" bestFit="1" customWidth="1"/>
    <col min="13" max="13" width="12.140625" bestFit="1" customWidth="1"/>
    <col min="14" max="14" width="14.5703125" bestFit="1" customWidth="1"/>
    <col min="15" max="15" width="19.42578125" customWidth="1"/>
    <col min="16" max="16" width="6.7109375" bestFit="1" customWidth="1"/>
    <col min="17" max="17" width="17.7109375" bestFit="1" customWidth="1"/>
    <col min="18" max="18" width="23.42578125" customWidth="1"/>
    <col min="19" max="19" width="15.42578125" bestFit="1" customWidth="1"/>
    <col min="20" max="20" width="17.85546875" bestFit="1" customWidth="1"/>
    <col min="21" max="21" width="9.5703125" customWidth="1"/>
    <col min="22" max="22" width="11.28515625" customWidth="1"/>
  </cols>
  <sheetData>
    <row r="1" spans="1:25" ht="24" thickBot="1" x14ac:dyDescent="0.4">
      <c r="B1" s="174" t="s">
        <v>0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9"/>
      <c r="N1" s="19"/>
      <c r="O1" s="19"/>
      <c r="R1" s="17" t="s">
        <v>7</v>
      </c>
      <c r="S1" s="17"/>
      <c r="T1" s="17"/>
      <c r="U1" s="17"/>
      <c r="V1" s="17"/>
    </row>
    <row r="2" spans="1:25" ht="13.5" customHeight="1" thickTop="1" x14ac:dyDescent="0.25">
      <c r="B2" s="1" t="s">
        <v>1</v>
      </c>
      <c r="C2" s="1"/>
      <c r="D2" s="1"/>
      <c r="E2" t="s">
        <v>2</v>
      </c>
      <c r="F2" s="28" t="s">
        <v>190</v>
      </c>
      <c r="G2" s="29"/>
      <c r="H2" s="29"/>
      <c r="P2" s="68" t="s">
        <v>47</v>
      </c>
      <c r="Q2" s="21" t="s">
        <v>14</v>
      </c>
      <c r="R2" s="20" t="s">
        <v>13</v>
      </c>
      <c r="S2" s="21" t="s">
        <v>26</v>
      </c>
      <c r="T2" s="21" t="s">
        <v>15</v>
      </c>
      <c r="U2" s="21" t="s">
        <v>24</v>
      </c>
      <c r="V2" s="21" t="s">
        <v>12</v>
      </c>
      <c r="W2" s="22" t="s">
        <v>16</v>
      </c>
    </row>
    <row r="3" spans="1:25" ht="13.5" customHeight="1" x14ac:dyDescent="0.25">
      <c r="B3" s="1" t="s">
        <v>92</v>
      </c>
      <c r="C3" s="1"/>
      <c r="D3" s="1"/>
      <c r="E3" t="s">
        <v>2</v>
      </c>
      <c r="F3" s="28" t="s">
        <v>191</v>
      </c>
      <c r="G3" s="29"/>
      <c r="H3" s="29"/>
      <c r="P3" s="37" t="s">
        <v>249</v>
      </c>
      <c r="Q3" s="152" t="s">
        <v>247</v>
      </c>
      <c r="R3" s="23" t="s">
        <v>248</v>
      </c>
      <c r="S3" s="69">
        <v>68</v>
      </c>
      <c r="T3" s="69">
        <v>6200</v>
      </c>
      <c r="U3" s="71">
        <f t="shared" ref="U3:U16" si="0">+T3*0.11</f>
        <v>682</v>
      </c>
      <c r="V3" s="71">
        <f t="shared" ref="V3:V16" si="1">+U3+T3</f>
        <v>6882</v>
      </c>
      <c r="W3" s="24" t="s">
        <v>18</v>
      </c>
    </row>
    <row r="4" spans="1:25" ht="13.5" customHeight="1" x14ac:dyDescent="0.25">
      <c r="B4" s="1" t="s">
        <v>3</v>
      </c>
      <c r="C4" s="1"/>
      <c r="D4" s="1"/>
      <c r="E4" t="s">
        <v>2</v>
      </c>
      <c r="F4" s="28" t="s">
        <v>192</v>
      </c>
      <c r="G4" s="29"/>
      <c r="H4" s="29"/>
      <c r="P4" s="37" t="s">
        <v>100</v>
      </c>
      <c r="Q4" s="152" t="s">
        <v>102</v>
      </c>
      <c r="R4" s="23" t="s">
        <v>181</v>
      </c>
      <c r="S4" s="69">
        <v>70</v>
      </c>
      <c r="T4" s="69">
        <f>17500+500</f>
        <v>18000</v>
      </c>
      <c r="U4" s="71">
        <f t="shared" si="0"/>
        <v>1980</v>
      </c>
      <c r="V4" s="71">
        <f t="shared" si="1"/>
        <v>19980</v>
      </c>
      <c r="W4" s="24" t="s">
        <v>18</v>
      </c>
    </row>
    <row r="5" spans="1:25" ht="13.5" customHeight="1" x14ac:dyDescent="0.25">
      <c r="B5" s="1" t="s">
        <v>4</v>
      </c>
      <c r="C5" s="1"/>
      <c r="D5" s="1"/>
      <c r="E5" t="s">
        <v>2</v>
      </c>
      <c r="F5" s="28" t="s">
        <v>193</v>
      </c>
      <c r="G5" s="29"/>
      <c r="H5" s="29"/>
      <c r="P5" s="37" t="s">
        <v>101</v>
      </c>
      <c r="Q5" s="152" t="s">
        <v>102</v>
      </c>
      <c r="R5" s="23" t="s">
        <v>181</v>
      </c>
      <c r="S5" s="69">
        <v>80</v>
      </c>
      <c r="T5" s="69">
        <f>17500+500</f>
        <v>18000</v>
      </c>
      <c r="U5" s="71">
        <f t="shared" si="0"/>
        <v>1980</v>
      </c>
      <c r="V5" s="71">
        <f t="shared" si="1"/>
        <v>19980</v>
      </c>
      <c r="W5" s="24" t="s">
        <v>18</v>
      </c>
    </row>
    <row r="6" spans="1:25" s="18" customFormat="1" ht="13.5" customHeight="1" x14ac:dyDescent="0.25">
      <c r="A6"/>
      <c r="B6" s="1" t="s">
        <v>21</v>
      </c>
      <c r="C6" s="1"/>
      <c r="D6" s="1"/>
      <c r="E6" t="s">
        <v>2</v>
      </c>
      <c r="F6" s="28">
        <v>650</v>
      </c>
      <c r="G6" s="29">
        <v>380</v>
      </c>
      <c r="H6" s="29">
        <v>100</v>
      </c>
      <c r="I6"/>
      <c r="J6"/>
      <c r="K6"/>
      <c r="L6"/>
      <c r="M6"/>
      <c r="N6"/>
      <c r="O6"/>
      <c r="P6" s="37" t="s">
        <v>207</v>
      </c>
      <c r="Q6" s="152" t="s">
        <v>98</v>
      </c>
      <c r="R6" s="23" t="s">
        <v>179</v>
      </c>
      <c r="S6" s="69">
        <v>70</v>
      </c>
      <c r="T6" s="69">
        <f>15780+500</f>
        <v>16280</v>
      </c>
      <c r="U6" s="71">
        <f t="shared" si="0"/>
        <v>1790.8</v>
      </c>
      <c r="V6" s="71">
        <f t="shared" si="1"/>
        <v>18070.8</v>
      </c>
      <c r="W6" s="24" t="s">
        <v>18</v>
      </c>
    </row>
    <row r="7" spans="1:25" ht="13.5" customHeight="1" x14ac:dyDescent="0.25">
      <c r="A7" s="18"/>
      <c r="B7" s="1" t="s">
        <v>5</v>
      </c>
      <c r="C7" s="1"/>
      <c r="D7" s="1"/>
      <c r="E7" t="s">
        <v>2</v>
      </c>
      <c r="F7" s="175">
        <v>45167</v>
      </c>
      <c r="G7" s="175"/>
      <c r="H7" s="29"/>
      <c r="I7" s="18"/>
      <c r="J7" s="18"/>
      <c r="K7" s="18"/>
      <c r="L7" s="10"/>
      <c r="M7" s="10"/>
      <c r="N7" s="10"/>
      <c r="O7" s="10"/>
      <c r="P7" s="37" t="s">
        <v>99</v>
      </c>
      <c r="Q7" s="152" t="s">
        <v>98</v>
      </c>
      <c r="R7" s="23" t="s">
        <v>179</v>
      </c>
      <c r="S7" s="69">
        <v>80</v>
      </c>
      <c r="T7" s="69">
        <f>15780+500</f>
        <v>16280</v>
      </c>
      <c r="U7" s="71">
        <f t="shared" si="0"/>
        <v>1790.8</v>
      </c>
      <c r="V7" s="71">
        <f t="shared" si="1"/>
        <v>18070.8</v>
      </c>
      <c r="W7" s="24" t="s">
        <v>18</v>
      </c>
      <c r="X7" s="18"/>
      <c r="Y7" s="18"/>
    </row>
    <row r="8" spans="1:25" ht="13.5" customHeight="1" x14ac:dyDescent="0.25">
      <c r="B8" s="1" t="s">
        <v>6</v>
      </c>
      <c r="C8" s="1"/>
      <c r="D8" s="1"/>
      <c r="E8" t="s">
        <v>2</v>
      </c>
      <c r="F8" s="28">
        <v>20000</v>
      </c>
      <c r="G8" s="29"/>
      <c r="H8" s="29"/>
      <c r="P8" s="37" t="s">
        <v>210</v>
      </c>
      <c r="Q8" s="152" t="s">
        <v>212</v>
      </c>
      <c r="R8" s="23" t="s">
        <v>179</v>
      </c>
      <c r="S8" s="69">
        <v>70</v>
      </c>
      <c r="T8" s="69">
        <f>16800+500</f>
        <v>17300</v>
      </c>
      <c r="U8" s="71">
        <f t="shared" si="0"/>
        <v>1903</v>
      </c>
      <c r="V8" s="71">
        <f t="shared" si="1"/>
        <v>19203</v>
      </c>
      <c r="W8" s="24" t="s">
        <v>18</v>
      </c>
      <c r="X8" s="18"/>
      <c r="Y8" s="18"/>
    </row>
    <row r="9" spans="1:25" ht="13.5" customHeight="1" thickBot="1" x14ac:dyDescent="0.3">
      <c r="B9" s="1" t="s">
        <v>28</v>
      </c>
      <c r="C9" s="1"/>
      <c r="D9" s="1"/>
      <c r="E9" t="s">
        <v>2</v>
      </c>
      <c r="F9" s="28">
        <v>4</v>
      </c>
      <c r="G9" s="29" t="s">
        <v>29</v>
      </c>
      <c r="H9" s="29"/>
      <c r="P9" s="37" t="s">
        <v>211</v>
      </c>
      <c r="Q9" s="152" t="s">
        <v>212</v>
      </c>
      <c r="R9" s="23" t="s">
        <v>179</v>
      </c>
      <c r="S9" s="69">
        <v>80</v>
      </c>
      <c r="T9" s="69">
        <f>16800+500</f>
        <v>17300</v>
      </c>
      <c r="U9" s="71">
        <f t="shared" si="0"/>
        <v>1903</v>
      </c>
      <c r="V9" s="71">
        <f t="shared" si="1"/>
        <v>19203</v>
      </c>
      <c r="W9" s="24" t="s">
        <v>18</v>
      </c>
      <c r="X9" s="18"/>
      <c r="Y9" s="18"/>
    </row>
    <row r="10" spans="1:25" ht="13.5" customHeight="1" thickTop="1" thickBot="1" x14ac:dyDescent="0.3">
      <c r="A10" s="39" t="s">
        <v>41</v>
      </c>
      <c r="B10" s="21" t="s">
        <v>8</v>
      </c>
      <c r="C10" s="21" t="s">
        <v>47</v>
      </c>
      <c r="D10" s="176" t="s">
        <v>26</v>
      </c>
      <c r="E10" s="177"/>
      <c r="F10" s="166" t="s">
        <v>9</v>
      </c>
      <c r="G10" s="166"/>
      <c r="H10" s="166"/>
      <c r="I10" s="21" t="s">
        <v>6</v>
      </c>
      <c r="J10" s="21" t="s">
        <v>10</v>
      </c>
      <c r="K10" s="21" t="s">
        <v>11</v>
      </c>
      <c r="L10" s="21" t="s">
        <v>12</v>
      </c>
      <c r="M10" s="21" t="s">
        <v>24</v>
      </c>
      <c r="N10" s="22" t="s">
        <v>25</v>
      </c>
      <c r="O10" s="11"/>
      <c r="P10" s="37" t="s">
        <v>96</v>
      </c>
      <c r="Q10" s="152" t="s">
        <v>86</v>
      </c>
      <c r="R10" s="23" t="s">
        <v>182</v>
      </c>
      <c r="S10" s="69">
        <v>70</v>
      </c>
      <c r="T10" s="69">
        <f>21700+500</f>
        <v>22200</v>
      </c>
      <c r="U10" s="71">
        <f t="shared" si="0"/>
        <v>2442</v>
      </c>
      <c r="V10" s="71">
        <f t="shared" si="1"/>
        <v>24642</v>
      </c>
      <c r="W10" s="24" t="s">
        <v>18</v>
      </c>
      <c r="X10" s="18"/>
      <c r="Y10" s="18"/>
    </row>
    <row r="11" spans="1:25" ht="13.5" customHeight="1" thickTop="1" x14ac:dyDescent="0.25">
      <c r="A11" s="15" t="s">
        <v>42</v>
      </c>
      <c r="B11" s="3" t="str">
        <f t="shared" ref="B11:B20" si="2">+VLOOKUP(C11,$P$3:$W$69,2,FALSE)</f>
        <v>Canfor HP Ex White</v>
      </c>
      <c r="C11" s="61" t="s">
        <v>96</v>
      </c>
      <c r="D11" s="158">
        <f t="shared" ref="D11:D20" si="3">+VLOOKUP(C11,$P$3:$W$69,4,FALSE)</f>
        <v>70</v>
      </c>
      <c r="E11" s="159"/>
      <c r="F11" s="34">
        <f>+($G$6+$H$6)*2+30</f>
        <v>990</v>
      </c>
      <c r="G11" s="5" t="s">
        <v>17</v>
      </c>
      <c r="H11" s="33">
        <f>+$F$6+H6/2</f>
        <v>700</v>
      </c>
      <c r="I11" s="36">
        <f>(F11*H11*D11)/1000000</f>
        <v>48.51</v>
      </c>
      <c r="J11" s="2" t="s">
        <v>27</v>
      </c>
      <c r="K11" s="3">
        <f t="shared" ref="K11:K19" si="4">+VLOOKUP(C11,$P$3:$W$69,5,FALSE)</f>
        <v>22200</v>
      </c>
      <c r="L11" s="4">
        <f>IF(D11&gt;0,K11*I11,0)/1000</f>
        <v>1076.922</v>
      </c>
      <c r="M11" s="4">
        <f>+L11*11%</f>
        <v>118.46142</v>
      </c>
      <c r="N11" s="32">
        <f>+M11+L11</f>
        <v>1195.3834200000001</v>
      </c>
      <c r="O11" s="9"/>
      <c r="P11" s="37" t="s">
        <v>97</v>
      </c>
      <c r="Q11" s="152" t="s">
        <v>86</v>
      </c>
      <c r="R11" s="23" t="s">
        <v>182</v>
      </c>
      <c r="S11" s="69">
        <v>80</v>
      </c>
      <c r="T11" s="69">
        <f>21850+500</f>
        <v>22350</v>
      </c>
      <c r="U11" s="71">
        <f t="shared" si="0"/>
        <v>2458.5</v>
      </c>
      <c r="V11" s="71">
        <f t="shared" si="1"/>
        <v>24808.5</v>
      </c>
      <c r="W11" s="24" t="s">
        <v>18</v>
      </c>
      <c r="X11" s="18"/>
      <c r="Y11" s="18"/>
    </row>
    <row r="12" spans="1:25" ht="13.5" customHeight="1" x14ac:dyDescent="0.25">
      <c r="A12" s="15" t="s">
        <v>43</v>
      </c>
      <c r="B12" s="3" t="str">
        <f t="shared" si="2"/>
        <v>Natura Kraft Krime</v>
      </c>
      <c r="C12" s="61" t="s">
        <v>202</v>
      </c>
      <c r="D12" s="158">
        <f t="shared" si="3"/>
        <v>72</v>
      </c>
      <c r="E12" s="159"/>
      <c r="F12" s="34">
        <f>+($G$6+$H$6)*2+30</f>
        <v>990</v>
      </c>
      <c r="G12" s="5" t="s">
        <v>17</v>
      </c>
      <c r="H12" s="35">
        <f>+$F$6+$H$6/2+30</f>
        <v>730</v>
      </c>
      <c r="I12" s="36">
        <f>(F12*H12*D12)/1000000</f>
        <v>52.034399999999998</v>
      </c>
      <c r="J12" s="2" t="s">
        <v>27</v>
      </c>
      <c r="K12" s="3">
        <f t="shared" si="4"/>
        <v>13000</v>
      </c>
      <c r="L12" s="4">
        <f>IF(D12&gt;0,K12*I12,0)/1000</f>
        <v>676.44719999999995</v>
      </c>
      <c r="M12" s="4">
        <f t="shared" ref="M12:M20" si="5">+L12*11%</f>
        <v>74.40919199999999</v>
      </c>
      <c r="N12" s="32">
        <f>+M12+L12</f>
        <v>750.85639199999991</v>
      </c>
      <c r="O12" s="9"/>
      <c r="P12" s="37" t="s">
        <v>202</v>
      </c>
      <c r="Q12" s="23" t="s">
        <v>201</v>
      </c>
      <c r="R12" s="23" t="s">
        <v>180</v>
      </c>
      <c r="S12" s="69">
        <v>72</v>
      </c>
      <c r="T12" s="82">
        <f>12500+500</f>
        <v>13000</v>
      </c>
      <c r="U12" s="71">
        <f t="shared" si="0"/>
        <v>1430</v>
      </c>
      <c r="V12" s="71">
        <f t="shared" si="1"/>
        <v>14430</v>
      </c>
      <c r="W12" s="24" t="s">
        <v>18</v>
      </c>
      <c r="X12" s="18"/>
      <c r="Y12" s="18"/>
    </row>
    <row r="13" spans="1:25" ht="13.5" customHeight="1" x14ac:dyDescent="0.25">
      <c r="A13" s="15" t="s">
        <v>43</v>
      </c>
      <c r="B13" s="3" t="str">
        <f t="shared" si="2"/>
        <v>Natura Kraft Krime</v>
      </c>
      <c r="C13" s="61" t="s">
        <v>202</v>
      </c>
      <c r="D13" s="158">
        <f t="shared" si="3"/>
        <v>72</v>
      </c>
      <c r="E13" s="159"/>
      <c r="F13" s="34">
        <f>+($G$6+$H$6)*2+30</f>
        <v>990</v>
      </c>
      <c r="G13" s="5" t="s">
        <v>17</v>
      </c>
      <c r="H13" s="35">
        <f>+$F$6+$H$6/2+30</f>
        <v>730</v>
      </c>
      <c r="I13" s="36">
        <f>(F13*H13*D13)/1000000</f>
        <v>52.034399999999998</v>
      </c>
      <c r="J13" s="2" t="s">
        <v>27</v>
      </c>
      <c r="K13" s="3">
        <f t="shared" si="4"/>
        <v>13000</v>
      </c>
      <c r="L13" s="4">
        <f>IF(D13&gt;0,K13*I13,0)/1000</f>
        <v>676.44719999999995</v>
      </c>
      <c r="M13" s="4">
        <f t="shared" ref="M13" si="6">+L13*11%</f>
        <v>74.40919199999999</v>
      </c>
      <c r="N13" s="32">
        <f>+M13+L13</f>
        <v>750.85639199999991</v>
      </c>
      <c r="O13" s="9"/>
      <c r="P13" s="37" t="s">
        <v>244</v>
      </c>
      <c r="Q13" s="152" t="s">
        <v>245</v>
      </c>
      <c r="R13" s="23" t="s">
        <v>246</v>
      </c>
      <c r="S13" s="69">
        <v>75</v>
      </c>
      <c r="T13" s="69">
        <v>9650</v>
      </c>
      <c r="U13" s="71">
        <f t="shared" si="0"/>
        <v>1061.5</v>
      </c>
      <c r="V13" s="71">
        <f t="shared" si="1"/>
        <v>10711.5</v>
      </c>
      <c r="W13" s="24" t="s">
        <v>18</v>
      </c>
    </row>
    <row r="14" spans="1:25" ht="13.5" customHeight="1" x14ac:dyDescent="0.25">
      <c r="A14" s="15" t="s">
        <v>43</v>
      </c>
      <c r="B14" s="3" t="str">
        <f t="shared" si="2"/>
        <v>Natura Kraft Krime</v>
      </c>
      <c r="C14" s="61" t="s">
        <v>202</v>
      </c>
      <c r="D14" s="158">
        <f t="shared" si="3"/>
        <v>72</v>
      </c>
      <c r="E14" s="159"/>
      <c r="F14" s="34">
        <f>+($G$6+$H$6)*2+30</f>
        <v>990</v>
      </c>
      <c r="G14" s="5" t="s">
        <v>17</v>
      </c>
      <c r="H14" s="35">
        <f>+$F$6+$H$6/2+30</f>
        <v>730</v>
      </c>
      <c r="I14" s="36">
        <f>(F14*H14*D14)/1000000</f>
        <v>52.034399999999998</v>
      </c>
      <c r="J14" s="2" t="s">
        <v>27</v>
      </c>
      <c r="K14" s="3">
        <f t="shared" si="4"/>
        <v>13000</v>
      </c>
      <c r="L14" s="4">
        <f t="shared" ref="L14:L19" si="7">IF(D14&gt;0,K14*I14,0)/1000</f>
        <v>676.44719999999995</v>
      </c>
      <c r="M14" s="4">
        <f t="shared" si="5"/>
        <v>74.40919199999999</v>
      </c>
      <c r="N14" s="32">
        <f t="shared" ref="N14" si="8">+M14+L14</f>
        <v>750.85639199999991</v>
      </c>
      <c r="O14" s="9"/>
      <c r="P14" s="37" t="s">
        <v>186</v>
      </c>
      <c r="Q14" s="152" t="s">
        <v>184</v>
      </c>
      <c r="R14" s="23" t="s">
        <v>179</v>
      </c>
      <c r="S14" s="69">
        <v>80</v>
      </c>
      <c r="T14" s="70">
        <v>12000</v>
      </c>
      <c r="U14" s="71">
        <f t="shared" si="0"/>
        <v>1320</v>
      </c>
      <c r="V14" s="71">
        <f t="shared" si="1"/>
        <v>13320</v>
      </c>
      <c r="W14" s="24" t="s">
        <v>18</v>
      </c>
    </row>
    <row r="15" spans="1:25" ht="13.5" customHeight="1" x14ac:dyDescent="0.25">
      <c r="A15" s="115" t="s">
        <v>44</v>
      </c>
      <c r="B15" s="116" t="str">
        <f t="shared" si="2"/>
        <v>Plastik HD Ori</v>
      </c>
      <c r="C15" s="61" t="s">
        <v>108</v>
      </c>
      <c r="D15" s="178">
        <f t="shared" si="3"/>
        <v>30</v>
      </c>
      <c r="E15" s="179"/>
      <c r="F15" s="117">
        <f>+($G$6+$H$6)*2</f>
        <v>960</v>
      </c>
      <c r="G15" s="118" t="s">
        <v>17</v>
      </c>
      <c r="H15" s="117">
        <f>+F6+100+30</f>
        <v>780</v>
      </c>
      <c r="I15" s="119">
        <f>+IF(D15&gt;0,(1000/(5200/(F15/2)/H15/(D15/100000))),0)</f>
        <v>21.599999999999994</v>
      </c>
      <c r="J15" s="120" t="s">
        <v>27</v>
      </c>
      <c r="K15" s="116">
        <f t="shared" si="4"/>
        <v>25500</v>
      </c>
      <c r="L15" s="121">
        <f t="shared" si="7"/>
        <v>550.79999999999984</v>
      </c>
      <c r="M15" s="121">
        <f t="shared" si="5"/>
        <v>60.58799999999998</v>
      </c>
      <c r="N15" s="122">
        <f t="shared" ref="N15:N20" si="9">+M15+L15</f>
        <v>611.38799999999981</v>
      </c>
      <c r="O15" s="9"/>
      <c r="P15" s="37" t="s">
        <v>187</v>
      </c>
      <c r="Q15" s="23" t="s">
        <v>185</v>
      </c>
      <c r="R15" s="23" t="s">
        <v>179</v>
      </c>
      <c r="S15" s="69">
        <v>80</v>
      </c>
      <c r="T15" s="82">
        <v>9000</v>
      </c>
      <c r="U15" s="71">
        <f t="shared" si="0"/>
        <v>990</v>
      </c>
      <c r="V15" s="71">
        <f t="shared" si="1"/>
        <v>9990</v>
      </c>
      <c r="W15" s="24" t="s">
        <v>18</v>
      </c>
    </row>
    <row r="16" spans="1:25" ht="13.5" customHeight="1" x14ac:dyDescent="0.25">
      <c r="A16" s="15" t="s">
        <v>45</v>
      </c>
      <c r="B16" s="3">
        <f t="shared" si="2"/>
        <v>0</v>
      </c>
      <c r="C16" s="61">
        <v>0</v>
      </c>
      <c r="D16" s="158">
        <f t="shared" si="3"/>
        <v>0</v>
      </c>
      <c r="E16" s="159"/>
      <c r="F16" s="34">
        <v>0</v>
      </c>
      <c r="G16" s="5" t="s">
        <v>17</v>
      </c>
      <c r="H16" s="34">
        <v>0</v>
      </c>
      <c r="I16" s="36">
        <f>(F16*H16*D16)/1000000</f>
        <v>0</v>
      </c>
      <c r="J16" s="2" t="s">
        <v>27</v>
      </c>
      <c r="K16" s="3">
        <f t="shared" si="4"/>
        <v>0</v>
      </c>
      <c r="L16" s="4">
        <f t="shared" si="7"/>
        <v>0</v>
      </c>
      <c r="M16" s="4">
        <f t="shared" si="5"/>
        <v>0</v>
      </c>
      <c r="N16" s="32">
        <f t="shared" si="9"/>
        <v>0</v>
      </c>
      <c r="P16" s="37" t="s">
        <v>48</v>
      </c>
      <c r="Q16" s="152" t="s">
        <v>39</v>
      </c>
      <c r="R16" s="23" t="s">
        <v>183</v>
      </c>
      <c r="S16" s="69">
        <v>80</v>
      </c>
      <c r="T16" s="63">
        <f>22000+500</f>
        <v>22500</v>
      </c>
      <c r="U16" s="71">
        <f t="shared" si="0"/>
        <v>2475</v>
      </c>
      <c r="V16" s="71">
        <f t="shared" si="1"/>
        <v>24975</v>
      </c>
      <c r="W16" s="24" t="s">
        <v>18</v>
      </c>
    </row>
    <row r="17" spans="1:23" ht="13.5" customHeight="1" x14ac:dyDescent="0.25">
      <c r="A17" s="15" t="s">
        <v>46</v>
      </c>
      <c r="B17" s="3" t="str">
        <f t="shared" si="2"/>
        <v>Canfor HP Ex White</v>
      </c>
      <c r="C17" s="61" t="str">
        <f>+C11</f>
        <v>CF7</v>
      </c>
      <c r="D17" s="158">
        <f t="shared" si="3"/>
        <v>70</v>
      </c>
      <c r="E17" s="159"/>
      <c r="F17" s="34">
        <f>+$G$6+60</f>
        <v>440</v>
      </c>
      <c r="G17" s="5" t="s">
        <v>17</v>
      </c>
      <c r="H17" s="34">
        <f>70*2</f>
        <v>140</v>
      </c>
      <c r="I17" s="36">
        <f>(F17*H17*D17)/1000000</f>
        <v>4.3120000000000003</v>
      </c>
      <c r="J17" s="2" t="s">
        <v>27</v>
      </c>
      <c r="K17" s="3">
        <f t="shared" si="4"/>
        <v>22200</v>
      </c>
      <c r="L17" s="4">
        <f t="shared" si="7"/>
        <v>95.726400000000012</v>
      </c>
      <c r="M17" s="4">
        <f t="shared" si="5"/>
        <v>10.529904000000002</v>
      </c>
      <c r="N17" s="32">
        <f t="shared" si="9"/>
        <v>106.25630400000001</v>
      </c>
      <c r="P17" s="37"/>
      <c r="Q17" s="152"/>
      <c r="R17" s="23"/>
      <c r="S17" s="69"/>
      <c r="T17" s="70"/>
      <c r="U17" s="71"/>
      <c r="V17" s="71"/>
      <c r="W17" s="24"/>
    </row>
    <row r="18" spans="1:23" ht="13.5" customHeight="1" x14ac:dyDescent="0.25">
      <c r="A18" s="15" t="s">
        <v>51</v>
      </c>
      <c r="B18" s="3" t="str">
        <f t="shared" si="2"/>
        <v>Canfor HP Ex White</v>
      </c>
      <c r="C18" s="61" t="str">
        <f>+C11</f>
        <v>CF7</v>
      </c>
      <c r="D18" s="158">
        <f t="shared" si="3"/>
        <v>70</v>
      </c>
      <c r="E18" s="159"/>
      <c r="F18" s="34">
        <f>+G6-H6-10</f>
        <v>270</v>
      </c>
      <c r="G18" s="5" t="s">
        <v>17</v>
      </c>
      <c r="H18" s="34">
        <f>+H6-10</f>
        <v>90</v>
      </c>
      <c r="I18" s="36">
        <f>(F18*H18*D18)/1000000</f>
        <v>1.7010000000000001</v>
      </c>
      <c r="J18" s="2" t="s">
        <v>27</v>
      </c>
      <c r="K18" s="3">
        <f t="shared" si="4"/>
        <v>22200</v>
      </c>
      <c r="L18" s="4">
        <f t="shared" si="7"/>
        <v>37.762200000000007</v>
      </c>
      <c r="M18" s="4">
        <f t="shared" si="5"/>
        <v>4.1538420000000009</v>
      </c>
      <c r="N18" s="32">
        <f t="shared" si="9"/>
        <v>41.916042000000004</v>
      </c>
      <c r="O18" s="9"/>
      <c r="P18" s="37"/>
      <c r="Q18" s="23"/>
      <c r="R18" s="23"/>
      <c r="S18" s="69"/>
      <c r="T18" s="82"/>
      <c r="U18" s="71"/>
      <c r="V18" s="71"/>
      <c r="W18" s="24"/>
    </row>
    <row r="19" spans="1:23" ht="13.5" customHeight="1" x14ac:dyDescent="0.25">
      <c r="A19" s="15" t="s">
        <v>176</v>
      </c>
      <c r="B19" s="3" t="str">
        <f t="shared" si="2"/>
        <v>Sack Kraft Limbah Kecil</v>
      </c>
      <c r="C19" s="61" t="s">
        <v>187</v>
      </c>
      <c r="D19" s="185">
        <f t="shared" si="3"/>
        <v>80</v>
      </c>
      <c r="E19" s="185"/>
      <c r="F19" s="34">
        <f>+$G$6-$H$6-50</f>
        <v>230</v>
      </c>
      <c r="G19" s="5" t="s">
        <v>17</v>
      </c>
      <c r="H19" s="34">
        <f>+$H$6</f>
        <v>100</v>
      </c>
      <c r="I19" s="36">
        <f>(F19*H19*D19)/1000000</f>
        <v>1.84</v>
      </c>
      <c r="J19" s="2" t="s">
        <v>27</v>
      </c>
      <c r="K19" s="3">
        <f t="shared" si="4"/>
        <v>9000</v>
      </c>
      <c r="L19" s="4">
        <f t="shared" si="7"/>
        <v>16.559999999999999</v>
      </c>
      <c r="M19" s="4">
        <f t="shared" si="5"/>
        <v>1.8215999999999999</v>
      </c>
      <c r="N19" s="32">
        <f t="shared" si="9"/>
        <v>18.381599999999999</v>
      </c>
      <c r="O19" s="9"/>
      <c r="P19" s="37"/>
      <c r="Q19" s="152"/>
      <c r="R19" s="23"/>
      <c r="S19" s="69"/>
      <c r="T19" s="63"/>
      <c r="U19" s="71"/>
      <c r="V19" s="71"/>
      <c r="W19" s="24"/>
    </row>
    <row r="20" spans="1:23" ht="13.5" customHeight="1" x14ac:dyDescent="0.25">
      <c r="A20" s="15" t="s">
        <v>40</v>
      </c>
      <c r="B20" s="3" t="str">
        <f t="shared" si="2"/>
        <v>Mixing</v>
      </c>
      <c r="C20" s="61" t="s">
        <v>40</v>
      </c>
      <c r="D20" s="158">
        <f t="shared" si="3"/>
        <v>0</v>
      </c>
      <c r="E20" s="159"/>
      <c r="F20" s="5"/>
      <c r="G20" s="5"/>
      <c r="H20" s="5"/>
      <c r="I20" s="2">
        <v>0</v>
      </c>
      <c r="J20" s="2" t="s">
        <v>27</v>
      </c>
      <c r="K20" s="3">
        <v>0</v>
      </c>
      <c r="L20" s="4">
        <f>(450*28000+120*8560+520*8400)/(320000+128000)+((450*28000+120*8560+520*8400)/(320000+128000)*20/100)</f>
        <v>48.201428571428572</v>
      </c>
      <c r="M20" s="4">
        <f t="shared" si="5"/>
        <v>5.3021571428571432</v>
      </c>
      <c r="N20" s="32">
        <f t="shared" si="9"/>
        <v>53.503585714285713</v>
      </c>
      <c r="O20" s="9"/>
      <c r="P20" s="37"/>
      <c r="Q20" s="152"/>
      <c r="R20" s="23"/>
      <c r="S20" s="69"/>
      <c r="T20" s="69"/>
      <c r="U20" s="71"/>
      <c r="V20" s="71"/>
      <c r="W20" s="24"/>
    </row>
    <row r="21" spans="1:23" ht="13.5" customHeight="1" thickBot="1" x14ac:dyDescent="0.3">
      <c r="A21" s="169" t="s">
        <v>12</v>
      </c>
      <c r="B21" s="170"/>
      <c r="C21" s="170"/>
      <c r="D21" s="170"/>
      <c r="E21" s="170"/>
      <c r="F21" s="170"/>
      <c r="G21" s="170"/>
      <c r="H21" s="171"/>
      <c r="I21" s="126">
        <f>+SUM(I11:I20)</f>
        <v>234.06620000000001</v>
      </c>
      <c r="J21" s="125"/>
      <c r="K21" s="125"/>
      <c r="L21" s="40">
        <f>SUM(L11:L20)</f>
        <v>3855.3136285714286</v>
      </c>
      <c r="M21" s="40">
        <f>SUM(M11:M20)</f>
        <v>424.08449914285706</v>
      </c>
      <c r="N21" s="41">
        <f>SUM(N11:N20)</f>
        <v>4279.3981277142857</v>
      </c>
      <c r="O21" s="9"/>
      <c r="P21" s="37" t="s">
        <v>40</v>
      </c>
      <c r="Q21" s="23" t="s">
        <v>149</v>
      </c>
      <c r="R21" s="23" t="s">
        <v>49</v>
      </c>
      <c r="S21" s="69">
        <v>0</v>
      </c>
      <c r="T21" s="82">
        <v>10250</v>
      </c>
      <c r="U21" s="71">
        <f t="shared" ref="U21:U22" si="10">+T21*0.11</f>
        <v>1127.5</v>
      </c>
      <c r="V21" s="71">
        <f t="shared" ref="V21:V22" si="11">+U21+T21</f>
        <v>11377.5</v>
      </c>
      <c r="W21" s="24" t="s">
        <v>18</v>
      </c>
    </row>
    <row r="22" spans="1:23" ht="13.5" customHeight="1" thickTop="1" thickBo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6"/>
      <c r="O22" s="9"/>
      <c r="P22" s="37" t="s">
        <v>38</v>
      </c>
      <c r="Q22" s="152" t="s">
        <v>53</v>
      </c>
      <c r="R22" s="23" t="s">
        <v>53</v>
      </c>
      <c r="S22" s="69">
        <v>20</v>
      </c>
      <c r="T22" s="63">
        <v>13000</v>
      </c>
      <c r="U22" s="71">
        <f t="shared" si="10"/>
        <v>1430</v>
      </c>
      <c r="V22" s="71">
        <f t="shared" si="11"/>
        <v>14430</v>
      </c>
      <c r="W22" s="24" t="s">
        <v>18</v>
      </c>
    </row>
    <row r="23" spans="1:23" ht="13.5" customHeight="1" thickTop="1" x14ac:dyDescent="0.25">
      <c r="A23" s="165" t="s">
        <v>19</v>
      </c>
      <c r="B23" s="166"/>
      <c r="C23" s="166"/>
      <c r="D23" s="166"/>
      <c r="E23" s="166"/>
      <c r="F23" s="166" t="s">
        <v>9</v>
      </c>
      <c r="G23" s="166"/>
      <c r="H23" s="166"/>
      <c r="I23" s="21" t="s">
        <v>6</v>
      </c>
      <c r="J23" s="21" t="s">
        <v>10</v>
      </c>
      <c r="K23" s="21" t="s">
        <v>11</v>
      </c>
      <c r="L23" s="21" t="s">
        <v>12</v>
      </c>
      <c r="M23" s="21" t="s">
        <v>24</v>
      </c>
      <c r="N23" s="22" t="s">
        <v>25</v>
      </c>
      <c r="O23" s="9"/>
      <c r="P23" s="37" t="s">
        <v>127</v>
      </c>
      <c r="Q23" s="152" t="s">
        <v>104</v>
      </c>
      <c r="R23" s="23" t="s">
        <v>178</v>
      </c>
      <c r="S23" s="69">
        <v>15</v>
      </c>
      <c r="T23" s="84">
        <v>26000</v>
      </c>
      <c r="U23" s="71">
        <f>+T23*0.11</f>
        <v>2860</v>
      </c>
      <c r="V23" s="71">
        <f>+U23+T23</f>
        <v>28860</v>
      </c>
      <c r="W23" s="24" t="s">
        <v>18</v>
      </c>
    </row>
    <row r="24" spans="1:23" ht="13.5" customHeight="1" x14ac:dyDescent="0.25">
      <c r="A24" s="163" t="s">
        <v>169</v>
      </c>
      <c r="B24" s="164"/>
      <c r="C24" s="164"/>
      <c r="D24" s="164"/>
      <c r="E24" s="164"/>
      <c r="F24" s="164"/>
      <c r="G24" s="164"/>
      <c r="H24" s="164"/>
      <c r="I24" s="5">
        <v>1</v>
      </c>
      <c r="J24" s="2" t="s">
        <v>20</v>
      </c>
      <c r="K24" s="62">
        <v>530</v>
      </c>
      <c r="L24" s="7">
        <f>K24*I24</f>
        <v>530</v>
      </c>
      <c r="M24" s="7">
        <f>+L24*0.11</f>
        <v>58.3</v>
      </c>
      <c r="N24" s="30">
        <f>+M24+L24</f>
        <v>588.29999999999995</v>
      </c>
      <c r="O24" s="9"/>
      <c r="P24" s="37" t="s">
        <v>105</v>
      </c>
      <c r="Q24" s="23" t="s">
        <v>103</v>
      </c>
      <c r="R24" s="23" t="s">
        <v>177</v>
      </c>
      <c r="S24" s="69">
        <v>15</v>
      </c>
      <c r="T24" s="83">
        <v>25500</v>
      </c>
      <c r="U24" s="71">
        <f t="shared" ref="U24:U66" si="12">+T24*0.11</f>
        <v>2805</v>
      </c>
      <c r="V24" s="71">
        <f t="shared" ref="V24:V66" si="13">+U24+T24</f>
        <v>28305</v>
      </c>
      <c r="W24" s="24" t="s">
        <v>18</v>
      </c>
    </row>
    <row r="25" spans="1:23" ht="13.5" customHeight="1" x14ac:dyDescent="0.25">
      <c r="A25" s="163" t="s">
        <v>170</v>
      </c>
      <c r="B25" s="164"/>
      <c r="C25" s="164"/>
      <c r="D25" s="164"/>
      <c r="E25" s="164"/>
      <c r="F25" s="164"/>
      <c r="G25" s="164"/>
      <c r="H25" s="164"/>
      <c r="I25" s="5">
        <v>1</v>
      </c>
      <c r="J25" s="2" t="s">
        <v>20</v>
      </c>
      <c r="K25" s="7">
        <f>IF($I$21&lt;200,Sheet3!Q2,(Sheet3!Q2+(($I$21-200)/200*Sheet3!Q2*0.25)))</f>
        <v>551.89460210819152</v>
      </c>
      <c r="L25" s="7">
        <f>K25*I25</f>
        <v>551.89460210819152</v>
      </c>
      <c r="M25" s="7">
        <f t="shared" ref="M25:M34" si="14">+L25*0.11</f>
        <v>60.708406231901066</v>
      </c>
      <c r="N25" s="30">
        <f>+M25+L25</f>
        <v>612.60300834009263</v>
      </c>
      <c r="O25" s="9"/>
      <c r="P25" s="37" t="s">
        <v>106</v>
      </c>
      <c r="Q25" s="23" t="s">
        <v>103</v>
      </c>
      <c r="R25" s="23" t="s">
        <v>177</v>
      </c>
      <c r="S25" s="69">
        <v>20</v>
      </c>
      <c r="T25" s="82">
        <f>+$T$24</f>
        <v>25500</v>
      </c>
      <c r="U25" s="71">
        <f t="shared" si="12"/>
        <v>2805</v>
      </c>
      <c r="V25" s="71">
        <f t="shared" si="13"/>
        <v>28305</v>
      </c>
      <c r="W25" s="24" t="s">
        <v>18</v>
      </c>
    </row>
    <row r="26" spans="1:23" ht="13.5" customHeight="1" x14ac:dyDescent="0.25">
      <c r="A26" s="163" t="s">
        <v>171</v>
      </c>
      <c r="B26" s="164"/>
      <c r="C26" s="164"/>
      <c r="D26" s="164"/>
      <c r="E26" s="164"/>
      <c r="F26" s="164"/>
      <c r="G26" s="164"/>
      <c r="H26" s="164"/>
      <c r="I26" s="5">
        <v>1</v>
      </c>
      <c r="J26" s="2" t="s">
        <v>20</v>
      </c>
      <c r="K26" s="7">
        <f>+IF(AND(F11&lt;1021,H11&lt;721),VLOOKUP(F8,$Q$73:$X$103,8,FALSE),IF(AND(F11&lt;1101,H11&lt;801),VLOOKUP(F8,$Q$108:$X$138,8,FALSE),VLOOKUP(F8,$Q$143:$Y$173,9,FALSE)))</f>
        <v>356.15382999999997</v>
      </c>
      <c r="L26" s="7">
        <f>K26*I26</f>
        <v>356.15382999999997</v>
      </c>
      <c r="M26" s="7">
        <f t="shared" si="14"/>
        <v>39.176921299999997</v>
      </c>
      <c r="N26" s="30">
        <f t="shared" ref="N26:N34" si="15">+M26+L26</f>
        <v>395.33075129999997</v>
      </c>
      <c r="O26" s="9"/>
      <c r="P26" s="37" t="s">
        <v>107</v>
      </c>
      <c r="Q26" s="23" t="s">
        <v>103</v>
      </c>
      <c r="R26" s="23" t="s">
        <v>177</v>
      </c>
      <c r="S26" s="69">
        <v>25</v>
      </c>
      <c r="T26" s="82">
        <f t="shared" ref="T26:T45" si="16">+$T$24</f>
        <v>25500</v>
      </c>
      <c r="U26" s="71">
        <f t="shared" si="12"/>
        <v>2805</v>
      </c>
      <c r="V26" s="71">
        <f t="shared" si="13"/>
        <v>28305</v>
      </c>
      <c r="W26" s="24" t="s">
        <v>18</v>
      </c>
    </row>
    <row r="27" spans="1:23" ht="13.5" customHeight="1" x14ac:dyDescent="0.25">
      <c r="A27" s="163" t="s">
        <v>172</v>
      </c>
      <c r="B27" s="164"/>
      <c r="C27" s="164"/>
      <c r="D27" s="164"/>
      <c r="E27" s="164"/>
      <c r="F27" s="164"/>
      <c r="G27" s="164"/>
      <c r="H27" s="164"/>
      <c r="I27" s="5">
        <v>1</v>
      </c>
      <c r="J27" s="2" t="s">
        <v>20</v>
      </c>
      <c r="K27" s="67">
        <v>25</v>
      </c>
      <c r="L27" s="7">
        <f t="shared" ref="L27:L34" si="17">K27*I27</f>
        <v>25</v>
      </c>
      <c r="M27" s="7">
        <f t="shared" si="14"/>
        <v>2.75</v>
      </c>
      <c r="N27" s="30">
        <f t="shared" si="15"/>
        <v>27.75</v>
      </c>
      <c r="O27" s="9"/>
      <c r="P27" s="37" t="s">
        <v>108</v>
      </c>
      <c r="Q27" s="23" t="s">
        <v>103</v>
      </c>
      <c r="R27" s="23" t="s">
        <v>177</v>
      </c>
      <c r="S27" s="69">
        <v>30</v>
      </c>
      <c r="T27" s="82">
        <f t="shared" si="16"/>
        <v>25500</v>
      </c>
      <c r="U27" s="71">
        <f t="shared" si="12"/>
        <v>2805</v>
      </c>
      <c r="V27" s="71">
        <f t="shared" si="13"/>
        <v>28305</v>
      </c>
      <c r="W27" s="24" t="s">
        <v>18</v>
      </c>
    </row>
    <row r="28" spans="1:23" ht="13.5" customHeight="1" x14ac:dyDescent="0.25">
      <c r="A28" s="163" t="s">
        <v>173</v>
      </c>
      <c r="B28" s="164"/>
      <c r="C28" s="164"/>
      <c r="D28" s="164"/>
      <c r="E28" s="164"/>
      <c r="F28" s="164"/>
      <c r="G28" s="164"/>
      <c r="H28" s="164"/>
      <c r="I28" s="5">
        <v>1</v>
      </c>
      <c r="J28" s="2" t="s">
        <v>20</v>
      </c>
      <c r="K28" s="7">
        <f>IF($I$21&lt;200,Sheet3!Q3,(Sheet3!Q3+(($I$21-200)/200*Sheet3!Q3*0.25)))</f>
        <v>35.800837791841552</v>
      </c>
      <c r="L28" s="7">
        <f t="shared" si="17"/>
        <v>35.800837791841552</v>
      </c>
      <c r="M28" s="7">
        <f t="shared" si="14"/>
        <v>3.9380921571025707</v>
      </c>
      <c r="N28" s="30">
        <f t="shared" si="15"/>
        <v>39.738929948944126</v>
      </c>
      <c r="O28" s="9"/>
      <c r="P28" s="37" t="s">
        <v>109</v>
      </c>
      <c r="Q28" s="23" t="s">
        <v>103</v>
      </c>
      <c r="R28" s="23" t="s">
        <v>177</v>
      </c>
      <c r="S28" s="69">
        <v>35</v>
      </c>
      <c r="T28" s="82">
        <f t="shared" si="16"/>
        <v>25500</v>
      </c>
      <c r="U28" s="71">
        <f t="shared" si="12"/>
        <v>2805</v>
      </c>
      <c r="V28" s="71">
        <f t="shared" si="13"/>
        <v>28305</v>
      </c>
      <c r="W28" s="24" t="s">
        <v>18</v>
      </c>
    </row>
    <row r="29" spans="1:23" ht="13.5" customHeight="1" x14ac:dyDescent="0.25">
      <c r="A29" s="163" t="s">
        <v>150</v>
      </c>
      <c r="B29" s="164"/>
      <c r="C29" s="164"/>
      <c r="D29" s="164"/>
      <c r="E29" s="164"/>
      <c r="F29" s="164"/>
      <c r="G29" s="164"/>
      <c r="H29" s="164"/>
      <c r="I29" s="5">
        <v>1</v>
      </c>
      <c r="J29" s="2" t="s">
        <v>20</v>
      </c>
      <c r="K29" s="7">
        <f>IF($I$21&lt;200,Sheet3!Q4,(Sheet3!Q4+(($I$21-200)/200*Sheet3!Q4*0.25)))</f>
        <v>122.83831239115756</v>
      </c>
      <c r="L29" s="7">
        <f t="shared" si="17"/>
        <v>122.83831239115756</v>
      </c>
      <c r="M29" s="7">
        <f t="shared" si="14"/>
        <v>13.512214363027331</v>
      </c>
      <c r="N29" s="30">
        <f t="shared" si="15"/>
        <v>136.3505267541849</v>
      </c>
      <c r="O29" s="9"/>
      <c r="P29" s="37" t="s">
        <v>110</v>
      </c>
      <c r="Q29" s="23" t="s">
        <v>103</v>
      </c>
      <c r="R29" s="23" t="s">
        <v>177</v>
      </c>
      <c r="S29" s="69">
        <v>40</v>
      </c>
      <c r="T29" s="82">
        <f>+$T$24</f>
        <v>25500</v>
      </c>
      <c r="U29" s="71">
        <f t="shared" si="12"/>
        <v>2805</v>
      </c>
      <c r="V29" s="71">
        <f t="shared" si="13"/>
        <v>28305</v>
      </c>
      <c r="W29" s="24" t="s">
        <v>18</v>
      </c>
    </row>
    <row r="30" spans="1:23" ht="13.5" customHeight="1" x14ac:dyDescent="0.25">
      <c r="A30" s="163" t="s">
        <v>151</v>
      </c>
      <c r="B30" s="164"/>
      <c r="C30" s="164"/>
      <c r="D30" s="164"/>
      <c r="E30" s="164"/>
      <c r="F30" s="164"/>
      <c r="G30" s="164"/>
      <c r="H30" s="164"/>
      <c r="I30" s="5">
        <v>1</v>
      </c>
      <c r="J30" s="2" t="s">
        <v>20</v>
      </c>
      <c r="K30" s="67">
        <f>IF($I$21&lt;200,Sheet3!Q5,(Sheet3!Q5+(($I$21-200)/200*Sheet3!Q5*0.25)))</f>
        <v>81.977923541899429</v>
      </c>
      <c r="L30" s="7">
        <f t="shared" si="17"/>
        <v>81.977923541899429</v>
      </c>
      <c r="M30" s="7">
        <f t="shared" si="14"/>
        <v>9.0175715896089379</v>
      </c>
      <c r="N30" s="30">
        <f t="shared" si="15"/>
        <v>90.995495131508363</v>
      </c>
      <c r="O30" s="9"/>
      <c r="P30" s="37" t="s">
        <v>111</v>
      </c>
      <c r="Q30" s="23" t="s">
        <v>103</v>
      </c>
      <c r="R30" s="23" t="s">
        <v>177</v>
      </c>
      <c r="S30" s="69">
        <v>45</v>
      </c>
      <c r="T30" s="82">
        <f t="shared" si="16"/>
        <v>25500</v>
      </c>
      <c r="U30" s="71">
        <f t="shared" si="12"/>
        <v>2805</v>
      </c>
      <c r="V30" s="71">
        <f t="shared" si="13"/>
        <v>28305</v>
      </c>
      <c r="W30" s="24" t="s">
        <v>18</v>
      </c>
    </row>
    <row r="31" spans="1:23" ht="13.5" customHeight="1" x14ac:dyDescent="0.25">
      <c r="A31" s="163" t="s">
        <v>208</v>
      </c>
      <c r="B31" s="164"/>
      <c r="C31" s="164"/>
      <c r="D31" s="164"/>
      <c r="E31" s="164"/>
      <c r="F31" s="164"/>
      <c r="G31" s="164"/>
      <c r="H31" s="164"/>
      <c r="I31" s="5">
        <v>1</v>
      </c>
      <c r="J31" s="2" t="s">
        <v>20</v>
      </c>
      <c r="K31" s="7">
        <f>IF($I$21&lt;200,Sheet3!Q7,(Sheet3!Q7+(($I$21-200)/200*Sheet3!Q7*0.25)))</f>
        <v>122.96703996475057</v>
      </c>
      <c r="L31" s="7">
        <f t="shared" si="17"/>
        <v>122.96703996475057</v>
      </c>
      <c r="M31" s="7">
        <f t="shared" si="14"/>
        <v>13.526374396122563</v>
      </c>
      <c r="N31" s="30">
        <f t="shared" si="15"/>
        <v>136.49341436087315</v>
      </c>
      <c r="O31" s="9"/>
      <c r="P31" s="37" t="s">
        <v>112</v>
      </c>
      <c r="Q31" s="23" t="s">
        <v>103</v>
      </c>
      <c r="R31" s="23" t="s">
        <v>177</v>
      </c>
      <c r="S31" s="69">
        <v>50</v>
      </c>
      <c r="T31" s="82">
        <f t="shared" si="16"/>
        <v>25500</v>
      </c>
      <c r="U31" s="71">
        <f t="shared" si="12"/>
        <v>2805</v>
      </c>
      <c r="V31" s="71">
        <f t="shared" si="13"/>
        <v>28305</v>
      </c>
      <c r="W31" s="24" t="s">
        <v>18</v>
      </c>
    </row>
    <row r="32" spans="1:23" ht="13.5" customHeight="1" x14ac:dyDescent="0.25">
      <c r="A32" s="163" t="s">
        <v>152</v>
      </c>
      <c r="B32" s="164"/>
      <c r="C32" s="164"/>
      <c r="D32" s="164"/>
      <c r="E32" s="164"/>
      <c r="F32" s="164"/>
      <c r="G32" s="164"/>
      <c r="H32" s="164"/>
      <c r="I32" s="5">
        <v>1</v>
      </c>
      <c r="J32" s="2" t="s">
        <v>20</v>
      </c>
      <c r="K32" s="7">
        <v>32</v>
      </c>
      <c r="L32" s="7">
        <f t="shared" si="17"/>
        <v>32</v>
      </c>
      <c r="M32" s="7">
        <f t="shared" si="14"/>
        <v>3.52</v>
      </c>
      <c r="N32" s="30">
        <f t="shared" si="15"/>
        <v>35.520000000000003</v>
      </c>
      <c r="O32" s="9"/>
      <c r="P32" s="37" t="s">
        <v>113</v>
      </c>
      <c r="Q32" s="23" t="s">
        <v>103</v>
      </c>
      <c r="R32" s="23" t="s">
        <v>177</v>
      </c>
      <c r="S32" s="69">
        <v>55</v>
      </c>
      <c r="T32" s="82">
        <f t="shared" si="16"/>
        <v>25500</v>
      </c>
      <c r="U32" s="71">
        <f t="shared" si="12"/>
        <v>2805</v>
      </c>
      <c r="V32" s="71">
        <f t="shared" si="13"/>
        <v>28305</v>
      </c>
      <c r="W32" s="24" t="s">
        <v>18</v>
      </c>
    </row>
    <row r="33" spans="1:27" ht="13.5" customHeight="1" x14ac:dyDescent="0.25">
      <c r="A33" s="163" t="s">
        <v>174</v>
      </c>
      <c r="B33" s="164"/>
      <c r="C33" s="164"/>
      <c r="D33" s="164"/>
      <c r="E33" s="164"/>
      <c r="F33" s="164"/>
      <c r="G33" s="164"/>
      <c r="H33" s="164"/>
      <c r="I33" s="5">
        <v>1</v>
      </c>
      <c r="J33" s="2" t="s">
        <v>20</v>
      </c>
      <c r="K33" s="62">
        <v>200</v>
      </c>
      <c r="L33" s="7">
        <f t="shared" si="17"/>
        <v>200</v>
      </c>
      <c r="M33" s="7">
        <f t="shared" si="14"/>
        <v>22</v>
      </c>
      <c r="N33" s="30">
        <f t="shared" si="15"/>
        <v>222</v>
      </c>
      <c r="O33" s="9"/>
      <c r="P33" s="37" t="s">
        <v>114</v>
      </c>
      <c r="Q33" s="23" t="s">
        <v>103</v>
      </c>
      <c r="R33" s="23" t="s">
        <v>177</v>
      </c>
      <c r="S33" s="69">
        <v>60</v>
      </c>
      <c r="T33" s="82">
        <f t="shared" si="16"/>
        <v>25500</v>
      </c>
      <c r="U33" s="71">
        <f t="shared" si="12"/>
        <v>2805</v>
      </c>
      <c r="V33" s="71">
        <f t="shared" si="13"/>
        <v>28305</v>
      </c>
      <c r="W33" s="24" t="s">
        <v>18</v>
      </c>
    </row>
    <row r="34" spans="1:27" ht="13.5" customHeight="1" x14ac:dyDescent="0.25">
      <c r="A34" s="163" t="s">
        <v>175</v>
      </c>
      <c r="B34" s="164"/>
      <c r="C34" s="164"/>
      <c r="D34" s="164"/>
      <c r="E34" s="164"/>
      <c r="F34" s="164"/>
      <c r="G34" s="164"/>
      <c r="H34" s="164"/>
      <c r="I34" s="5">
        <v>1</v>
      </c>
      <c r="J34" s="2" t="s">
        <v>20</v>
      </c>
      <c r="K34" s="62">
        <v>65</v>
      </c>
      <c r="L34" s="7">
        <f t="shared" si="17"/>
        <v>65</v>
      </c>
      <c r="M34" s="7">
        <f t="shared" si="14"/>
        <v>7.15</v>
      </c>
      <c r="N34" s="30">
        <f t="shared" si="15"/>
        <v>72.150000000000006</v>
      </c>
      <c r="O34" s="6"/>
      <c r="P34" s="37" t="s">
        <v>115</v>
      </c>
      <c r="Q34" s="23" t="s">
        <v>103</v>
      </c>
      <c r="R34" s="23" t="s">
        <v>177</v>
      </c>
      <c r="S34" s="69">
        <v>65</v>
      </c>
      <c r="T34" s="82">
        <f t="shared" si="16"/>
        <v>25500</v>
      </c>
      <c r="U34" s="71">
        <f t="shared" si="12"/>
        <v>2805</v>
      </c>
      <c r="V34" s="71">
        <f t="shared" si="13"/>
        <v>28305</v>
      </c>
      <c r="W34" s="24" t="s">
        <v>18</v>
      </c>
    </row>
    <row r="35" spans="1:27" ht="13.5" customHeight="1" x14ac:dyDescent="0.25">
      <c r="A35" s="167" t="s">
        <v>12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8">
        <f>SUM(L24:L34)</f>
        <v>2123.6325457978405</v>
      </c>
      <c r="M35" s="8">
        <f>SUM(M24:M34)</f>
        <v>233.59958003776251</v>
      </c>
      <c r="N35" s="31">
        <f>SUM(N24:N34)</f>
        <v>2357.2321258356033</v>
      </c>
      <c r="P35" s="37" t="s">
        <v>116</v>
      </c>
      <c r="Q35" s="23" t="s">
        <v>103</v>
      </c>
      <c r="R35" s="23" t="s">
        <v>177</v>
      </c>
      <c r="S35" s="69">
        <v>70</v>
      </c>
      <c r="T35" s="82">
        <f t="shared" si="16"/>
        <v>25500</v>
      </c>
      <c r="U35" s="71">
        <f t="shared" si="12"/>
        <v>2805</v>
      </c>
      <c r="V35" s="71">
        <f t="shared" si="13"/>
        <v>28305</v>
      </c>
      <c r="W35" s="24" t="s">
        <v>18</v>
      </c>
      <c r="AA35" s="18"/>
    </row>
    <row r="36" spans="1:27" ht="13.5" customHeight="1" x14ac:dyDescent="0.25">
      <c r="A36" s="161" t="s">
        <v>89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03">
        <f>L35+L21</f>
        <v>5978.9461743692691</v>
      </c>
      <c r="M36" s="110"/>
      <c r="N36" s="111">
        <f t="shared" ref="N36:N41" si="18">(L36*11%)+L36</f>
        <v>6636.6302535498889</v>
      </c>
      <c r="O36" s="11"/>
      <c r="P36" s="37" t="s">
        <v>117</v>
      </c>
      <c r="Q36" s="23" t="s">
        <v>103</v>
      </c>
      <c r="R36" s="23" t="s">
        <v>177</v>
      </c>
      <c r="S36" s="69">
        <v>75</v>
      </c>
      <c r="T36" s="82">
        <f t="shared" si="16"/>
        <v>25500</v>
      </c>
      <c r="U36" s="71">
        <f t="shared" si="12"/>
        <v>2805</v>
      </c>
      <c r="V36" s="71">
        <f t="shared" si="13"/>
        <v>28305</v>
      </c>
      <c r="W36" s="24" t="s">
        <v>18</v>
      </c>
    </row>
    <row r="37" spans="1:27" ht="13.5" customHeight="1" x14ac:dyDescent="0.25">
      <c r="A37" s="167" t="s">
        <v>91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05">
        <f>+L40-L36</f>
        <v>-478.9461743692691</v>
      </c>
      <c r="M37" s="74"/>
      <c r="N37" s="80">
        <f t="shared" si="18"/>
        <v>-531.63025354988872</v>
      </c>
      <c r="O37" s="12"/>
      <c r="P37" s="37" t="s">
        <v>118</v>
      </c>
      <c r="Q37" s="23" t="s">
        <v>103</v>
      </c>
      <c r="R37" s="23" t="s">
        <v>177</v>
      </c>
      <c r="S37" s="69">
        <v>80</v>
      </c>
      <c r="T37" s="82">
        <f t="shared" si="16"/>
        <v>25500</v>
      </c>
      <c r="U37" s="71">
        <f t="shared" si="12"/>
        <v>2805</v>
      </c>
      <c r="V37" s="71">
        <f t="shared" si="13"/>
        <v>28305</v>
      </c>
      <c r="W37" s="24" t="s">
        <v>18</v>
      </c>
    </row>
    <row r="38" spans="1:27" ht="13.5" customHeight="1" x14ac:dyDescent="0.25">
      <c r="A38" s="161" t="s">
        <v>88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04">
        <f>+IF(L37&lt;=300,L36+L37,IF(L37&lt;=430,L36+300,IF(L37&gt;430,L36+L37*70/100,0)))</f>
        <v>5500</v>
      </c>
      <c r="M38" s="110"/>
      <c r="N38" s="111">
        <f t="shared" si="18"/>
        <v>6105</v>
      </c>
      <c r="O38" s="12"/>
      <c r="P38" s="37" t="s">
        <v>119</v>
      </c>
      <c r="Q38" s="23" t="s">
        <v>103</v>
      </c>
      <c r="R38" s="23" t="s">
        <v>177</v>
      </c>
      <c r="S38" s="69">
        <v>85</v>
      </c>
      <c r="T38" s="82">
        <f t="shared" si="16"/>
        <v>25500</v>
      </c>
      <c r="U38" s="71">
        <f t="shared" si="12"/>
        <v>2805</v>
      </c>
      <c r="V38" s="71">
        <f t="shared" si="13"/>
        <v>28305</v>
      </c>
      <c r="W38" s="24" t="s">
        <v>18</v>
      </c>
    </row>
    <row r="39" spans="1:27" ht="13.5" customHeight="1" x14ac:dyDescent="0.25">
      <c r="A39" s="167" t="s">
        <v>197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75">
        <f>+L38-L36</f>
        <v>-478.9461743692691</v>
      </c>
      <c r="M39" s="74"/>
      <c r="N39" s="80">
        <f t="shared" si="18"/>
        <v>-531.63025354988872</v>
      </c>
      <c r="O39" s="12"/>
      <c r="P39" s="37" t="s">
        <v>120</v>
      </c>
      <c r="Q39" s="23" t="s">
        <v>103</v>
      </c>
      <c r="R39" s="23" t="s">
        <v>177</v>
      </c>
      <c r="S39" s="69">
        <v>90</v>
      </c>
      <c r="T39" s="82">
        <f t="shared" si="16"/>
        <v>25500</v>
      </c>
      <c r="U39" s="71">
        <f t="shared" si="12"/>
        <v>2805</v>
      </c>
      <c r="V39" s="71">
        <f t="shared" si="13"/>
        <v>28305</v>
      </c>
      <c r="W39" s="24" t="s">
        <v>18</v>
      </c>
    </row>
    <row r="40" spans="1:27" ht="13.5" customHeight="1" x14ac:dyDescent="0.25">
      <c r="A40" s="161" t="s">
        <v>90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07">
        <v>5500</v>
      </c>
      <c r="M40" s="113"/>
      <c r="N40" s="111">
        <f t="shared" si="18"/>
        <v>6105</v>
      </c>
      <c r="O40" s="12"/>
      <c r="P40" s="37" t="s">
        <v>121</v>
      </c>
      <c r="Q40" s="23" t="s">
        <v>103</v>
      </c>
      <c r="R40" s="23" t="s">
        <v>177</v>
      </c>
      <c r="S40" s="69">
        <v>95</v>
      </c>
      <c r="T40" s="82">
        <f t="shared" si="16"/>
        <v>25500</v>
      </c>
      <c r="U40" s="71">
        <f t="shared" si="12"/>
        <v>2805</v>
      </c>
      <c r="V40" s="71">
        <f t="shared" si="13"/>
        <v>28305</v>
      </c>
      <c r="W40" s="24" t="s">
        <v>18</v>
      </c>
    </row>
    <row r="41" spans="1:27" ht="13.5" customHeight="1" x14ac:dyDescent="0.25">
      <c r="A41" s="167" t="s">
        <v>198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06">
        <f>+L40-L38</f>
        <v>0</v>
      </c>
      <c r="M41" s="76"/>
      <c r="N41" s="80">
        <f t="shared" si="18"/>
        <v>0</v>
      </c>
      <c r="O41" s="12"/>
      <c r="P41" s="37" t="s">
        <v>122</v>
      </c>
      <c r="Q41" s="23" t="s">
        <v>103</v>
      </c>
      <c r="R41" s="23" t="s">
        <v>177</v>
      </c>
      <c r="S41" s="69">
        <v>100</v>
      </c>
      <c r="T41" s="82">
        <f t="shared" si="16"/>
        <v>25500</v>
      </c>
      <c r="U41" s="71">
        <f t="shared" si="12"/>
        <v>2805</v>
      </c>
      <c r="V41" s="71">
        <f t="shared" si="13"/>
        <v>28305</v>
      </c>
      <c r="W41" s="24" t="s">
        <v>18</v>
      </c>
    </row>
    <row r="42" spans="1:27" ht="13.5" customHeight="1" x14ac:dyDescent="0.25">
      <c r="A42" s="161" t="s">
        <v>23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07">
        <v>0</v>
      </c>
      <c r="M42" s="112"/>
      <c r="N42" s="111">
        <f t="shared" ref="N42" si="19">(L42*11%)+L42</f>
        <v>0</v>
      </c>
      <c r="O42" s="12"/>
      <c r="P42" s="37" t="s">
        <v>123</v>
      </c>
      <c r="Q42" s="23" t="s">
        <v>103</v>
      </c>
      <c r="R42" s="23" t="s">
        <v>177</v>
      </c>
      <c r="S42" s="69">
        <v>105</v>
      </c>
      <c r="T42" s="82">
        <f t="shared" si="16"/>
        <v>25500</v>
      </c>
      <c r="U42" s="71">
        <f t="shared" si="12"/>
        <v>2805</v>
      </c>
      <c r="V42" s="71">
        <f t="shared" si="13"/>
        <v>28305</v>
      </c>
      <c r="W42" s="24" t="s">
        <v>18</v>
      </c>
    </row>
    <row r="43" spans="1:27" ht="13.5" customHeight="1" x14ac:dyDescent="0.25">
      <c r="A43" s="167" t="s">
        <v>37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77">
        <f>+L42+L40</f>
        <v>5500</v>
      </c>
      <c r="M43" s="75"/>
      <c r="N43" s="80">
        <f>(L43*11%)+L43</f>
        <v>6105</v>
      </c>
      <c r="O43" s="12"/>
      <c r="P43" s="37" t="s">
        <v>124</v>
      </c>
      <c r="Q43" s="23" t="s">
        <v>103</v>
      </c>
      <c r="R43" s="23" t="s">
        <v>177</v>
      </c>
      <c r="S43" s="69">
        <v>110</v>
      </c>
      <c r="T43" s="82">
        <f t="shared" si="16"/>
        <v>25500</v>
      </c>
      <c r="U43" s="71">
        <f t="shared" si="12"/>
        <v>2805</v>
      </c>
      <c r="V43" s="71">
        <f t="shared" si="13"/>
        <v>28305</v>
      </c>
      <c r="W43" s="24" t="s">
        <v>18</v>
      </c>
    </row>
    <row r="44" spans="1:27" ht="13.5" customHeight="1" x14ac:dyDescent="0.25">
      <c r="A44" s="161" t="s">
        <v>199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08">
        <f>+L39/L36</f>
        <v>-8.0105450091260286E-2</v>
      </c>
      <c r="M44" s="104"/>
      <c r="N44" s="109">
        <f>+N39/N36</f>
        <v>-8.0105450091260286E-2</v>
      </c>
      <c r="O44" s="6"/>
      <c r="P44" s="37" t="s">
        <v>125</v>
      </c>
      <c r="Q44" s="23" t="s">
        <v>103</v>
      </c>
      <c r="R44" s="23" t="s">
        <v>177</v>
      </c>
      <c r="S44" s="69">
        <v>115</v>
      </c>
      <c r="T44" s="82">
        <f t="shared" si="16"/>
        <v>25500</v>
      </c>
      <c r="U44" s="71">
        <f t="shared" si="12"/>
        <v>2805</v>
      </c>
      <c r="V44" s="71">
        <f t="shared" si="13"/>
        <v>28305</v>
      </c>
      <c r="W44" s="24" t="s">
        <v>18</v>
      </c>
    </row>
    <row r="45" spans="1:27" ht="15.75" thickBot="1" x14ac:dyDescent="0.3">
      <c r="A45" s="172" t="s">
        <v>200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78">
        <f>+L41/L38</f>
        <v>0</v>
      </c>
      <c r="M45" s="79"/>
      <c r="N45" s="81">
        <f>+N41/N38</f>
        <v>0</v>
      </c>
      <c r="O45" s="9"/>
      <c r="P45" s="37" t="s">
        <v>126</v>
      </c>
      <c r="Q45" s="23" t="s">
        <v>103</v>
      </c>
      <c r="R45" s="23" t="s">
        <v>177</v>
      </c>
      <c r="S45" s="69">
        <v>120</v>
      </c>
      <c r="T45" s="82">
        <f t="shared" si="16"/>
        <v>25500</v>
      </c>
      <c r="U45" s="71">
        <f t="shared" si="12"/>
        <v>2805</v>
      </c>
      <c r="V45" s="71">
        <f t="shared" si="13"/>
        <v>28305</v>
      </c>
      <c r="W45" s="24" t="s">
        <v>18</v>
      </c>
    </row>
    <row r="46" spans="1:27" ht="15.75" thickTop="1" x14ac:dyDescent="0.25">
      <c r="O46" s="9"/>
      <c r="P46" s="37" t="s">
        <v>128</v>
      </c>
      <c r="Q46" s="152" t="s">
        <v>104</v>
      </c>
      <c r="R46" s="23" t="s">
        <v>178</v>
      </c>
      <c r="S46" s="69">
        <v>20</v>
      </c>
      <c r="T46" s="63">
        <f>+$T$23</f>
        <v>26000</v>
      </c>
      <c r="U46" s="71">
        <f t="shared" si="12"/>
        <v>2860</v>
      </c>
      <c r="V46" s="71">
        <f t="shared" si="13"/>
        <v>28860</v>
      </c>
      <c r="W46" s="24" t="s">
        <v>18</v>
      </c>
    </row>
    <row r="47" spans="1:27" x14ac:dyDescent="0.25">
      <c r="O47" s="14"/>
      <c r="P47" s="37" t="s">
        <v>129</v>
      </c>
      <c r="Q47" s="152" t="s">
        <v>104</v>
      </c>
      <c r="R47" s="23" t="s">
        <v>178</v>
      </c>
      <c r="S47" s="69">
        <v>25</v>
      </c>
      <c r="T47" s="63">
        <f t="shared" ref="T47:T66" si="20">+$T$23</f>
        <v>26000</v>
      </c>
      <c r="U47" s="71">
        <f t="shared" si="12"/>
        <v>2860</v>
      </c>
      <c r="V47" s="71">
        <f t="shared" si="13"/>
        <v>28860</v>
      </c>
      <c r="W47" s="24" t="s">
        <v>18</v>
      </c>
    </row>
    <row r="48" spans="1:27" x14ac:dyDescent="0.25">
      <c r="O48" s="9"/>
      <c r="P48" s="37" t="s">
        <v>130</v>
      </c>
      <c r="Q48" s="152" t="s">
        <v>104</v>
      </c>
      <c r="R48" s="23" t="s">
        <v>178</v>
      </c>
      <c r="S48" s="69">
        <v>30</v>
      </c>
      <c r="T48" s="63">
        <f t="shared" si="20"/>
        <v>26000</v>
      </c>
      <c r="U48" s="71">
        <f t="shared" si="12"/>
        <v>2860</v>
      </c>
      <c r="V48" s="71">
        <f t="shared" si="13"/>
        <v>28860</v>
      </c>
      <c r="W48" s="24" t="s">
        <v>18</v>
      </c>
    </row>
    <row r="49" spans="15:23" x14ac:dyDescent="0.25">
      <c r="O49" s="13"/>
      <c r="P49" s="37" t="s">
        <v>131</v>
      </c>
      <c r="Q49" s="152" t="s">
        <v>104</v>
      </c>
      <c r="R49" s="23" t="s">
        <v>178</v>
      </c>
      <c r="S49" s="69">
        <v>35</v>
      </c>
      <c r="T49" s="63">
        <f t="shared" si="20"/>
        <v>26000</v>
      </c>
      <c r="U49" s="71">
        <f t="shared" si="12"/>
        <v>2860</v>
      </c>
      <c r="V49" s="71">
        <f t="shared" si="13"/>
        <v>28860</v>
      </c>
      <c r="W49" s="24" t="s">
        <v>18</v>
      </c>
    </row>
    <row r="50" spans="15:23" x14ac:dyDescent="0.25">
      <c r="O50" s="14"/>
      <c r="P50" s="37" t="s">
        <v>132</v>
      </c>
      <c r="Q50" s="152" t="s">
        <v>104</v>
      </c>
      <c r="R50" s="23" t="s">
        <v>178</v>
      </c>
      <c r="S50" s="69">
        <v>40</v>
      </c>
      <c r="T50" s="63">
        <f t="shared" si="20"/>
        <v>26000</v>
      </c>
      <c r="U50" s="71">
        <f t="shared" si="12"/>
        <v>2860</v>
      </c>
      <c r="V50" s="71">
        <f t="shared" si="13"/>
        <v>28860</v>
      </c>
      <c r="W50" s="24" t="s">
        <v>18</v>
      </c>
    </row>
    <row r="51" spans="15:23" x14ac:dyDescent="0.25">
      <c r="O51" s="14"/>
      <c r="P51" s="37" t="s">
        <v>133</v>
      </c>
      <c r="Q51" s="152" t="s">
        <v>104</v>
      </c>
      <c r="R51" s="23" t="s">
        <v>178</v>
      </c>
      <c r="S51" s="69">
        <v>45</v>
      </c>
      <c r="T51" s="63">
        <f t="shared" si="20"/>
        <v>26000</v>
      </c>
      <c r="U51" s="71">
        <f t="shared" si="12"/>
        <v>2860</v>
      </c>
      <c r="V51" s="71">
        <f t="shared" si="13"/>
        <v>28860</v>
      </c>
      <c r="W51" s="24" t="s">
        <v>18</v>
      </c>
    </row>
    <row r="52" spans="15:23" x14ac:dyDescent="0.25">
      <c r="P52" s="37" t="s">
        <v>134</v>
      </c>
      <c r="Q52" s="152" t="s">
        <v>104</v>
      </c>
      <c r="R52" s="23" t="s">
        <v>178</v>
      </c>
      <c r="S52" s="69">
        <v>50</v>
      </c>
      <c r="T52" s="63">
        <f t="shared" si="20"/>
        <v>26000</v>
      </c>
      <c r="U52" s="71">
        <f t="shared" si="12"/>
        <v>2860</v>
      </c>
      <c r="V52" s="71">
        <f t="shared" si="13"/>
        <v>28860</v>
      </c>
      <c r="W52" s="24" t="s">
        <v>18</v>
      </c>
    </row>
    <row r="53" spans="15:23" x14ac:dyDescent="0.25">
      <c r="P53" s="37" t="s">
        <v>135</v>
      </c>
      <c r="Q53" s="152" t="s">
        <v>104</v>
      </c>
      <c r="R53" s="23" t="s">
        <v>178</v>
      </c>
      <c r="S53" s="69">
        <v>55</v>
      </c>
      <c r="T53" s="63">
        <f t="shared" si="20"/>
        <v>26000</v>
      </c>
      <c r="U53" s="71">
        <f t="shared" si="12"/>
        <v>2860</v>
      </c>
      <c r="V53" s="71">
        <f t="shared" si="13"/>
        <v>28860</v>
      </c>
      <c r="W53" s="24" t="s">
        <v>18</v>
      </c>
    </row>
    <row r="54" spans="15:23" x14ac:dyDescent="0.25">
      <c r="P54" s="37" t="s">
        <v>136</v>
      </c>
      <c r="Q54" s="152" t="s">
        <v>104</v>
      </c>
      <c r="R54" s="23" t="s">
        <v>178</v>
      </c>
      <c r="S54" s="69">
        <v>60</v>
      </c>
      <c r="T54" s="63">
        <f t="shared" si="20"/>
        <v>26000</v>
      </c>
      <c r="U54" s="71">
        <f t="shared" si="12"/>
        <v>2860</v>
      </c>
      <c r="V54" s="71">
        <f t="shared" si="13"/>
        <v>28860</v>
      </c>
      <c r="W54" s="24" t="s">
        <v>18</v>
      </c>
    </row>
    <row r="55" spans="15:23" x14ac:dyDescent="0.25">
      <c r="P55" s="37" t="s">
        <v>137</v>
      </c>
      <c r="Q55" s="152" t="s">
        <v>104</v>
      </c>
      <c r="R55" s="23" t="s">
        <v>178</v>
      </c>
      <c r="S55" s="69">
        <v>65</v>
      </c>
      <c r="T55" s="63">
        <f t="shared" si="20"/>
        <v>26000</v>
      </c>
      <c r="U55" s="71">
        <f t="shared" si="12"/>
        <v>2860</v>
      </c>
      <c r="V55" s="71">
        <f t="shared" si="13"/>
        <v>28860</v>
      </c>
      <c r="W55" s="24" t="s">
        <v>18</v>
      </c>
    </row>
    <row r="56" spans="15:23" x14ac:dyDescent="0.25">
      <c r="P56" s="37" t="s">
        <v>138</v>
      </c>
      <c r="Q56" s="152" t="s">
        <v>104</v>
      </c>
      <c r="R56" s="23" t="s">
        <v>178</v>
      </c>
      <c r="S56" s="69">
        <v>70</v>
      </c>
      <c r="T56" s="63">
        <f t="shared" si="20"/>
        <v>26000</v>
      </c>
      <c r="U56" s="71">
        <f t="shared" si="12"/>
        <v>2860</v>
      </c>
      <c r="V56" s="71">
        <f t="shared" si="13"/>
        <v>28860</v>
      </c>
      <c r="W56" s="24" t="s">
        <v>18</v>
      </c>
    </row>
    <row r="57" spans="15:23" x14ac:dyDescent="0.25">
      <c r="P57" s="37" t="s">
        <v>139</v>
      </c>
      <c r="Q57" s="152" t="s">
        <v>104</v>
      </c>
      <c r="R57" s="23" t="s">
        <v>178</v>
      </c>
      <c r="S57" s="69">
        <v>75</v>
      </c>
      <c r="T57" s="63">
        <f t="shared" si="20"/>
        <v>26000</v>
      </c>
      <c r="U57" s="71">
        <f t="shared" si="12"/>
        <v>2860</v>
      </c>
      <c r="V57" s="71">
        <f t="shared" si="13"/>
        <v>28860</v>
      </c>
      <c r="W57" s="24" t="s">
        <v>18</v>
      </c>
    </row>
    <row r="58" spans="15:23" x14ac:dyDescent="0.25">
      <c r="P58" s="37" t="s">
        <v>140</v>
      </c>
      <c r="Q58" s="152" t="s">
        <v>104</v>
      </c>
      <c r="R58" s="23" t="s">
        <v>178</v>
      </c>
      <c r="S58" s="69">
        <v>80</v>
      </c>
      <c r="T58" s="63">
        <f t="shared" si="20"/>
        <v>26000</v>
      </c>
      <c r="U58" s="71">
        <f t="shared" si="12"/>
        <v>2860</v>
      </c>
      <c r="V58" s="71">
        <f t="shared" si="13"/>
        <v>28860</v>
      </c>
      <c r="W58" s="24" t="s">
        <v>18</v>
      </c>
    </row>
    <row r="59" spans="15:23" x14ac:dyDescent="0.25">
      <c r="P59" s="37" t="s">
        <v>141</v>
      </c>
      <c r="Q59" s="152" t="s">
        <v>104</v>
      </c>
      <c r="R59" s="23" t="s">
        <v>178</v>
      </c>
      <c r="S59" s="69">
        <v>85</v>
      </c>
      <c r="T59" s="63">
        <f t="shared" si="20"/>
        <v>26000</v>
      </c>
      <c r="U59" s="71">
        <f t="shared" si="12"/>
        <v>2860</v>
      </c>
      <c r="V59" s="71">
        <f t="shared" si="13"/>
        <v>28860</v>
      </c>
      <c r="W59" s="24" t="s">
        <v>18</v>
      </c>
    </row>
    <row r="60" spans="15:23" x14ac:dyDescent="0.25">
      <c r="P60" s="37" t="s">
        <v>142</v>
      </c>
      <c r="Q60" s="152" t="s">
        <v>104</v>
      </c>
      <c r="R60" s="23" t="s">
        <v>178</v>
      </c>
      <c r="S60" s="69">
        <v>90</v>
      </c>
      <c r="T60" s="63">
        <f t="shared" si="20"/>
        <v>26000</v>
      </c>
      <c r="U60" s="71">
        <f t="shared" si="12"/>
        <v>2860</v>
      </c>
      <c r="V60" s="71">
        <f t="shared" si="13"/>
        <v>28860</v>
      </c>
      <c r="W60" s="24" t="s">
        <v>18</v>
      </c>
    </row>
    <row r="61" spans="15:23" x14ac:dyDescent="0.25">
      <c r="P61" s="37" t="s">
        <v>143</v>
      </c>
      <c r="Q61" s="152" t="s">
        <v>104</v>
      </c>
      <c r="R61" s="23" t="s">
        <v>178</v>
      </c>
      <c r="S61" s="69">
        <v>95</v>
      </c>
      <c r="T61" s="63">
        <f t="shared" si="20"/>
        <v>26000</v>
      </c>
      <c r="U61" s="71">
        <f t="shared" si="12"/>
        <v>2860</v>
      </c>
      <c r="V61" s="71">
        <f t="shared" si="13"/>
        <v>28860</v>
      </c>
      <c r="W61" s="24" t="s">
        <v>18</v>
      </c>
    </row>
    <row r="62" spans="15:23" x14ac:dyDescent="0.25">
      <c r="P62" s="37" t="s">
        <v>144</v>
      </c>
      <c r="Q62" s="152" t="s">
        <v>104</v>
      </c>
      <c r="R62" s="23" t="s">
        <v>178</v>
      </c>
      <c r="S62" s="69">
        <v>100</v>
      </c>
      <c r="T62" s="63">
        <f t="shared" si="20"/>
        <v>26000</v>
      </c>
      <c r="U62" s="71">
        <f t="shared" si="12"/>
        <v>2860</v>
      </c>
      <c r="V62" s="71">
        <f t="shared" si="13"/>
        <v>28860</v>
      </c>
      <c r="W62" s="24" t="s">
        <v>18</v>
      </c>
    </row>
    <row r="63" spans="15:23" x14ac:dyDescent="0.25">
      <c r="P63" s="37" t="s">
        <v>145</v>
      </c>
      <c r="Q63" s="152" t="s">
        <v>104</v>
      </c>
      <c r="R63" s="23" t="s">
        <v>178</v>
      </c>
      <c r="S63" s="69">
        <v>105</v>
      </c>
      <c r="T63" s="63">
        <f t="shared" si="20"/>
        <v>26000</v>
      </c>
      <c r="U63" s="71">
        <f t="shared" si="12"/>
        <v>2860</v>
      </c>
      <c r="V63" s="71">
        <f t="shared" si="13"/>
        <v>28860</v>
      </c>
      <c r="W63" s="24" t="s">
        <v>18</v>
      </c>
    </row>
    <row r="64" spans="15:23" x14ac:dyDescent="0.25">
      <c r="P64" s="37" t="s">
        <v>146</v>
      </c>
      <c r="Q64" s="152" t="s">
        <v>104</v>
      </c>
      <c r="R64" s="23" t="s">
        <v>178</v>
      </c>
      <c r="S64" s="69">
        <v>110</v>
      </c>
      <c r="T64" s="63">
        <f t="shared" si="20"/>
        <v>26000</v>
      </c>
      <c r="U64" s="71">
        <f t="shared" si="12"/>
        <v>2860</v>
      </c>
      <c r="V64" s="71">
        <f t="shared" si="13"/>
        <v>28860</v>
      </c>
      <c r="W64" s="24" t="s">
        <v>18</v>
      </c>
    </row>
    <row r="65" spans="16:24" x14ac:dyDescent="0.25">
      <c r="P65" s="37" t="s">
        <v>147</v>
      </c>
      <c r="Q65" s="152" t="s">
        <v>104</v>
      </c>
      <c r="R65" s="23" t="s">
        <v>178</v>
      </c>
      <c r="S65" s="69">
        <v>115</v>
      </c>
      <c r="T65" s="63">
        <f t="shared" si="20"/>
        <v>26000</v>
      </c>
      <c r="U65" s="71">
        <f t="shared" si="12"/>
        <v>2860</v>
      </c>
      <c r="V65" s="71">
        <f t="shared" si="13"/>
        <v>28860</v>
      </c>
      <c r="W65" s="24" t="s">
        <v>18</v>
      </c>
    </row>
    <row r="66" spans="16:24" x14ac:dyDescent="0.25">
      <c r="P66" s="37" t="s">
        <v>148</v>
      </c>
      <c r="Q66" s="152" t="s">
        <v>104</v>
      </c>
      <c r="R66" s="23" t="s">
        <v>178</v>
      </c>
      <c r="S66" s="69">
        <v>120</v>
      </c>
      <c r="T66" s="63">
        <f t="shared" si="20"/>
        <v>26000</v>
      </c>
      <c r="U66" s="71">
        <f t="shared" si="12"/>
        <v>2860</v>
      </c>
      <c r="V66" s="71">
        <f t="shared" si="13"/>
        <v>28860</v>
      </c>
      <c r="W66" s="24" t="s">
        <v>18</v>
      </c>
    </row>
    <row r="67" spans="16:24" x14ac:dyDescent="0.25">
      <c r="P67" s="37"/>
      <c r="Q67" s="152"/>
      <c r="R67" s="23"/>
      <c r="S67" s="69"/>
      <c r="T67" s="63"/>
      <c r="U67" s="71"/>
      <c r="V67" s="71"/>
      <c r="W67" s="24"/>
    </row>
    <row r="68" spans="16:24" x14ac:dyDescent="0.25">
      <c r="P68" s="37"/>
      <c r="Q68" s="152"/>
      <c r="R68" s="23"/>
      <c r="S68" s="69"/>
      <c r="T68" s="63"/>
      <c r="U68" s="71"/>
      <c r="V68" s="71"/>
      <c r="W68" s="24"/>
    </row>
    <row r="69" spans="16:24" ht="15.75" thickBot="1" x14ac:dyDescent="0.3">
      <c r="P69" s="38">
        <v>0</v>
      </c>
      <c r="Q69" s="26"/>
      <c r="R69" s="25"/>
      <c r="S69" s="72"/>
      <c r="T69" s="73"/>
      <c r="U69" s="73"/>
      <c r="V69" s="73"/>
      <c r="W69" s="27"/>
    </row>
    <row r="70" spans="16:24" ht="15.75" thickTop="1" x14ac:dyDescent="0.25">
      <c r="P70" s="12"/>
    </row>
    <row r="71" spans="16:24" ht="15.75" thickBot="1" x14ac:dyDescent="0.3">
      <c r="P71" s="160" t="s">
        <v>203</v>
      </c>
      <c r="Q71" s="160"/>
      <c r="R71" s="160"/>
      <c r="S71" s="160"/>
      <c r="T71" s="160"/>
      <c r="U71" s="160"/>
      <c r="V71" s="160"/>
      <c r="W71" s="160"/>
    </row>
    <row r="72" spans="16:24" ht="46.5" thickTop="1" thickBot="1" x14ac:dyDescent="0.3">
      <c r="P72" s="91" t="s">
        <v>31</v>
      </c>
      <c r="Q72" s="92" t="s">
        <v>32</v>
      </c>
      <c r="R72" s="92" t="s">
        <v>30</v>
      </c>
      <c r="S72" s="92" t="s">
        <v>85</v>
      </c>
      <c r="T72" s="92" t="s">
        <v>34</v>
      </c>
      <c r="U72" s="93" t="s">
        <v>35</v>
      </c>
      <c r="V72" s="92" t="s">
        <v>84</v>
      </c>
      <c r="W72" s="92" t="s">
        <v>36</v>
      </c>
      <c r="X72" s="97" t="s">
        <v>189</v>
      </c>
    </row>
    <row r="73" spans="16:24" ht="15.75" thickTop="1" x14ac:dyDescent="0.25">
      <c r="P73" s="39">
        <v>1</v>
      </c>
      <c r="Q73" s="90">
        <v>100</v>
      </c>
      <c r="R73" s="90">
        <f>+$F$9</f>
        <v>4</v>
      </c>
      <c r="S73" s="90">
        <f>+$L$11*300</f>
        <v>323076.60000000003</v>
      </c>
      <c r="T73" s="90">
        <v>1500000</v>
      </c>
      <c r="U73" s="90">
        <f>(Q73-3000)*50*R73</f>
        <v>-580000</v>
      </c>
      <c r="V73" s="90">
        <f t="shared" ref="V73:V103" si="21">75000*R73</f>
        <v>300000</v>
      </c>
      <c r="W73" s="90">
        <f>100000*R73</f>
        <v>400000</v>
      </c>
      <c r="X73" s="94">
        <f>IF(R73&gt;0,SUM(S73:W73)/Q73,0)</f>
        <v>19430.766</v>
      </c>
    </row>
    <row r="74" spans="16:24" x14ac:dyDescent="0.25">
      <c r="P74" s="15">
        <f>+P73+1</f>
        <v>2</v>
      </c>
      <c r="Q74" s="69">
        <v>200</v>
      </c>
      <c r="R74" s="69">
        <f>+$F$9</f>
        <v>4</v>
      </c>
      <c r="S74" s="69">
        <f t="shared" ref="S74:S103" si="22">+$L$11*300</f>
        <v>323076.60000000003</v>
      </c>
      <c r="T74" s="69">
        <v>1500000</v>
      </c>
      <c r="U74" s="69">
        <f>(Q74-3000)*50*R74</f>
        <v>-560000</v>
      </c>
      <c r="V74" s="69">
        <f t="shared" si="21"/>
        <v>300000</v>
      </c>
      <c r="W74" s="69">
        <f t="shared" ref="W74:W81" si="23">100000*R74</f>
        <v>400000</v>
      </c>
      <c r="X74" s="95">
        <f t="shared" ref="X74:X76" si="24">IF(R74&gt;0,SUM(S74:W74)/Q74,0)</f>
        <v>9815.3829999999998</v>
      </c>
    </row>
    <row r="75" spans="16:24" x14ac:dyDescent="0.25">
      <c r="P75" s="15">
        <f t="shared" ref="P75:P103" si="25">+P74+1</f>
        <v>3</v>
      </c>
      <c r="Q75" s="69">
        <v>300</v>
      </c>
      <c r="R75" s="69">
        <f t="shared" ref="R75:R103" si="26">+$F$9</f>
        <v>4</v>
      </c>
      <c r="S75" s="69">
        <f t="shared" si="22"/>
        <v>323076.60000000003</v>
      </c>
      <c r="T75" s="69">
        <v>1500000</v>
      </c>
      <c r="U75" s="69">
        <f>(Q75-3000)*50*R75</f>
        <v>-540000</v>
      </c>
      <c r="V75" s="69">
        <f t="shared" si="21"/>
        <v>300000</v>
      </c>
      <c r="W75" s="69">
        <f t="shared" si="23"/>
        <v>400000</v>
      </c>
      <c r="X75" s="95">
        <f t="shared" si="24"/>
        <v>6610.2553333333335</v>
      </c>
    </row>
    <row r="76" spans="16:24" x14ac:dyDescent="0.25">
      <c r="P76" s="15">
        <f t="shared" si="25"/>
        <v>4</v>
      </c>
      <c r="Q76" s="69">
        <v>500</v>
      </c>
      <c r="R76" s="69">
        <f t="shared" si="26"/>
        <v>4</v>
      </c>
      <c r="S76" s="69">
        <f t="shared" si="22"/>
        <v>323076.60000000003</v>
      </c>
      <c r="T76" s="69">
        <v>1500000</v>
      </c>
      <c r="U76" s="69">
        <f>(Q76-3000)*50*R76</f>
        <v>-500000</v>
      </c>
      <c r="V76" s="69">
        <f t="shared" si="21"/>
        <v>300000</v>
      </c>
      <c r="W76" s="69">
        <f t="shared" si="23"/>
        <v>400000</v>
      </c>
      <c r="X76" s="95">
        <f t="shared" si="24"/>
        <v>4046.1532000000002</v>
      </c>
    </row>
    <row r="77" spans="16:24" x14ac:dyDescent="0.25">
      <c r="P77" s="15">
        <f t="shared" si="25"/>
        <v>5</v>
      </c>
      <c r="Q77" s="69">
        <v>1000</v>
      </c>
      <c r="R77" s="69">
        <f t="shared" si="26"/>
        <v>4</v>
      </c>
      <c r="S77" s="69">
        <f t="shared" si="22"/>
        <v>323076.60000000003</v>
      </c>
      <c r="T77" s="69">
        <v>1500000</v>
      </c>
      <c r="U77" s="69">
        <f t="shared" ref="U77:U103" si="27">(Q77-3000)*50*R77</f>
        <v>-400000</v>
      </c>
      <c r="V77" s="69">
        <f t="shared" si="21"/>
        <v>300000</v>
      </c>
      <c r="W77" s="69">
        <f t="shared" si="23"/>
        <v>400000</v>
      </c>
      <c r="X77" s="95">
        <f t="shared" ref="X77:X103" si="28">IF(R77&gt;0,SUM(S77:W77)/Q77,0)</f>
        <v>2123.0765999999999</v>
      </c>
    </row>
    <row r="78" spans="16:24" x14ac:dyDescent="0.25">
      <c r="P78" s="15">
        <f t="shared" si="25"/>
        <v>6</v>
      </c>
      <c r="Q78" s="69">
        <v>2000</v>
      </c>
      <c r="R78" s="69">
        <f t="shared" si="26"/>
        <v>4</v>
      </c>
      <c r="S78" s="69">
        <f t="shared" si="22"/>
        <v>323076.60000000003</v>
      </c>
      <c r="T78" s="69">
        <v>1500000</v>
      </c>
      <c r="U78" s="69">
        <f t="shared" si="27"/>
        <v>-200000</v>
      </c>
      <c r="V78" s="69">
        <f t="shared" si="21"/>
        <v>300000</v>
      </c>
      <c r="W78" s="69">
        <f t="shared" si="23"/>
        <v>400000</v>
      </c>
      <c r="X78" s="95">
        <f t="shared" si="28"/>
        <v>1161.5382999999999</v>
      </c>
    </row>
    <row r="79" spans="16:24" x14ac:dyDescent="0.25">
      <c r="P79" s="15">
        <f t="shared" si="25"/>
        <v>7</v>
      </c>
      <c r="Q79" s="69">
        <v>3000</v>
      </c>
      <c r="R79" s="69">
        <f t="shared" si="26"/>
        <v>4</v>
      </c>
      <c r="S79" s="69">
        <f t="shared" si="22"/>
        <v>323076.60000000003</v>
      </c>
      <c r="T79" s="69">
        <v>1500000</v>
      </c>
      <c r="U79" s="69">
        <f t="shared" si="27"/>
        <v>0</v>
      </c>
      <c r="V79" s="69">
        <f t="shared" si="21"/>
        <v>300000</v>
      </c>
      <c r="W79" s="69">
        <f t="shared" si="23"/>
        <v>400000</v>
      </c>
      <c r="X79" s="95">
        <f t="shared" si="28"/>
        <v>841.02553333333333</v>
      </c>
    </row>
    <row r="80" spans="16:24" x14ac:dyDescent="0.25">
      <c r="P80" s="15">
        <f t="shared" si="25"/>
        <v>8</v>
      </c>
      <c r="Q80" s="69">
        <v>4000</v>
      </c>
      <c r="R80" s="69">
        <f t="shared" si="26"/>
        <v>4</v>
      </c>
      <c r="S80" s="69">
        <f t="shared" si="22"/>
        <v>323076.60000000003</v>
      </c>
      <c r="T80" s="69">
        <v>1500000</v>
      </c>
      <c r="U80" s="69">
        <f t="shared" si="27"/>
        <v>200000</v>
      </c>
      <c r="V80" s="69">
        <f t="shared" si="21"/>
        <v>300000</v>
      </c>
      <c r="W80" s="69">
        <f t="shared" si="23"/>
        <v>400000</v>
      </c>
      <c r="X80" s="95">
        <f t="shared" si="28"/>
        <v>680.76914999999997</v>
      </c>
    </row>
    <row r="81" spans="16:24" x14ac:dyDescent="0.25">
      <c r="P81" s="15">
        <f t="shared" si="25"/>
        <v>9</v>
      </c>
      <c r="Q81" s="69">
        <v>5000</v>
      </c>
      <c r="R81" s="69">
        <f t="shared" si="26"/>
        <v>4</v>
      </c>
      <c r="S81" s="69">
        <f t="shared" si="22"/>
        <v>323076.60000000003</v>
      </c>
      <c r="T81" s="69">
        <v>1500000</v>
      </c>
      <c r="U81" s="69">
        <f t="shared" si="27"/>
        <v>400000</v>
      </c>
      <c r="V81" s="69">
        <f t="shared" si="21"/>
        <v>300000</v>
      </c>
      <c r="W81" s="69">
        <f t="shared" si="23"/>
        <v>400000</v>
      </c>
      <c r="X81" s="95">
        <f t="shared" si="28"/>
        <v>584.61532</v>
      </c>
    </row>
    <row r="82" spans="16:24" x14ac:dyDescent="0.25">
      <c r="P82" s="15">
        <f t="shared" si="25"/>
        <v>10</v>
      </c>
      <c r="Q82" s="69">
        <v>6000</v>
      </c>
      <c r="R82" s="69">
        <f t="shared" si="26"/>
        <v>4</v>
      </c>
      <c r="S82" s="69">
        <f t="shared" si="22"/>
        <v>323076.60000000003</v>
      </c>
      <c r="T82" s="69">
        <v>1500000</v>
      </c>
      <c r="U82" s="69">
        <f t="shared" si="27"/>
        <v>600000</v>
      </c>
      <c r="V82" s="69">
        <f t="shared" si="21"/>
        <v>300000</v>
      </c>
      <c r="W82" s="69">
        <f>+$W$73*Q82/$Q$81</f>
        <v>480000</v>
      </c>
      <c r="X82" s="95">
        <f t="shared" si="28"/>
        <v>533.84609999999998</v>
      </c>
    </row>
    <row r="83" spans="16:24" x14ac:dyDescent="0.25">
      <c r="P83" s="15">
        <f t="shared" si="25"/>
        <v>11</v>
      </c>
      <c r="Q83" s="69">
        <v>7000</v>
      </c>
      <c r="R83" s="69">
        <f t="shared" si="26"/>
        <v>4</v>
      </c>
      <c r="S83" s="69">
        <f t="shared" si="22"/>
        <v>323076.60000000003</v>
      </c>
      <c r="T83" s="69">
        <v>1500000</v>
      </c>
      <c r="U83" s="69">
        <f t="shared" si="27"/>
        <v>800000</v>
      </c>
      <c r="V83" s="69">
        <f t="shared" si="21"/>
        <v>300000</v>
      </c>
      <c r="W83" s="69">
        <f t="shared" ref="W83:W103" si="29">+$W$73*Q83/$Q$81</f>
        <v>560000</v>
      </c>
      <c r="X83" s="95">
        <f t="shared" si="28"/>
        <v>497.58237142857143</v>
      </c>
    </row>
    <row r="84" spans="16:24" x14ac:dyDescent="0.25">
      <c r="P84" s="15">
        <f t="shared" si="25"/>
        <v>12</v>
      </c>
      <c r="Q84" s="69">
        <v>8000</v>
      </c>
      <c r="R84" s="69">
        <f t="shared" si="26"/>
        <v>4</v>
      </c>
      <c r="S84" s="69">
        <f t="shared" si="22"/>
        <v>323076.60000000003</v>
      </c>
      <c r="T84" s="69">
        <v>1500000</v>
      </c>
      <c r="U84" s="69">
        <f t="shared" si="27"/>
        <v>1000000</v>
      </c>
      <c r="V84" s="69">
        <f t="shared" si="21"/>
        <v>300000</v>
      </c>
      <c r="W84" s="69">
        <f t="shared" si="29"/>
        <v>640000</v>
      </c>
      <c r="X84" s="95">
        <f t="shared" si="28"/>
        <v>470.38457499999998</v>
      </c>
    </row>
    <row r="85" spans="16:24" x14ac:dyDescent="0.25">
      <c r="P85" s="15">
        <f t="shared" si="25"/>
        <v>13</v>
      </c>
      <c r="Q85" s="69">
        <v>10000</v>
      </c>
      <c r="R85" s="69">
        <f t="shared" si="26"/>
        <v>4</v>
      </c>
      <c r="S85" s="69">
        <f t="shared" si="22"/>
        <v>323076.60000000003</v>
      </c>
      <c r="T85" s="69">
        <v>1500000</v>
      </c>
      <c r="U85" s="69">
        <f t="shared" si="27"/>
        <v>1400000</v>
      </c>
      <c r="V85" s="69">
        <f t="shared" si="21"/>
        <v>300000</v>
      </c>
      <c r="W85" s="69">
        <f t="shared" si="29"/>
        <v>800000</v>
      </c>
      <c r="X85" s="95">
        <f t="shared" si="28"/>
        <v>432.30765999999994</v>
      </c>
    </row>
    <row r="86" spans="16:24" x14ac:dyDescent="0.25">
      <c r="P86" s="15">
        <f t="shared" si="25"/>
        <v>14</v>
      </c>
      <c r="Q86" s="69">
        <v>15000</v>
      </c>
      <c r="R86" s="69">
        <f t="shared" si="26"/>
        <v>4</v>
      </c>
      <c r="S86" s="69">
        <f t="shared" si="22"/>
        <v>323076.60000000003</v>
      </c>
      <c r="T86" s="69">
        <v>1500000</v>
      </c>
      <c r="U86" s="69">
        <f t="shared" si="27"/>
        <v>2400000</v>
      </c>
      <c r="V86" s="69">
        <f t="shared" si="21"/>
        <v>300000</v>
      </c>
      <c r="W86" s="69">
        <f t="shared" si="29"/>
        <v>1200000</v>
      </c>
      <c r="X86" s="95">
        <f t="shared" si="28"/>
        <v>381.53843999999998</v>
      </c>
    </row>
    <row r="87" spans="16:24" x14ac:dyDescent="0.25">
      <c r="P87" s="15">
        <f t="shared" si="25"/>
        <v>15</v>
      </c>
      <c r="Q87" s="69">
        <v>20000</v>
      </c>
      <c r="R87" s="69">
        <f t="shared" si="26"/>
        <v>4</v>
      </c>
      <c r="S87" s="69">
        <f t="shared" si="22"/>
        <v>323076.60000000003</v>
      </c>
      <c r="T87" s="69">
        <v>1500000</v>
      </c>
      <c r="U87" s="69">
        <f t="shared" si="27"/>
        <v>3400000</v>
      </c>
      <c r="V87" s="69">
        <f t="shared" si="21"/>
        <v>300000</v>
      </c>
      <c r="W87" s="69">
        <f t="shared" si="29"/>
        <v>1600000</v>
      </c>
      <c r="X87" s="95">
        <f t="shared" si="28"/>
        <v>356.15382999999997</v>
      </c>
    </row>
    <row r="88" spans="16:24" x14ac:dyDescent="0.25">
      <c r="P88" s="15">
        <f t="shared" si="25"/>
        <v>16</v>
      </c>
      <c r="Q88" s="69">
        <v>25000</v>
      </c>
      <c r="R88" s="69">
        <f t="shared" si="26"/>
        <v>4</v>
      </c>
      <c r="S88" s="69">
        <f t="shared" si="22"/>
        <v>323076.60000000003</v>
      </c>
      <c r="T88" s="69">
        <v>1500000</v>
      </c>
      <c r="U88" s="69">
        <f t="shared" si="27"/>
        <v>4400000</v>
      </c>
      <c r="V88" s="69">
        <f t="shared" si="21"/>
        <v>300000</v>
      </c>
      <c r="W88" s="69">
        <f t="shared" si="29"/>
        <v>2000000</v>
      </c>
      <c r="X88" s="95">
        <f t="shared" si="28"/>
        <v>340.92306400000001</v>
      </c>
    </row>
    <row r="89" spans="16:24" x14ac:dyDescent="0.25">
      <c r="P89" s="15">
        <f t="shared" si="25"/>
        <v>17</v>
      </c>
      <c r="Q89" s="69">
        <v>30000</v>
      </c>
      <c r="R89" s="69">
        <f t="shared" si="26"/>
        <v>4</v>
      </c>
      <c r="S89" s="69">
        <f t="shared" si="22"/>
        <v>323076.60000000003</v>
      </c>
      <c r="T89" s="69">
        <v>1500000</v>
      </c>
      <c r="U89" s="69">
        <f t="shared" si="27"/>
        <v>5400000</v>
      </c>
      <c r="V89" s="69">
        <f t="shared" si="21"/>
        <v>300000</v>
      </c>
      <c r="W89" s="69">
        <f t="shared" si="29"/>
        <v>2400000</v>
      </c>
      <c r="X89" s="95">
        <f t="shared" si="28"/>
        <v>330.76921999999996</v>
      </c>
    </row>
    <row r="90" spans="16:24" x14ac:dyDescent="0.25">
      <c r="P90" s="15">
        <f t="shared" si="25"/>
        <v>18</v>
      </c>
      <c r="Q90" s="69">
        <v>35000</v>
      </c>
      <c r="R90" s="69">
        <f t="shared" si="26"/>
        <v>4</v>
      </c>
      <c r="S90" s="69">
        <f t="shared" si="22"/>
        <v>323076.60000000003</v>
      </c>
      <c r="T90" s="69">
        <v>1500000</v>
      </c>
      <c r="U90" s="69">
        <f t="shared" si="27"/>
        <v>6400000</v>
      </c>
      <c r="V90" s="69">
        <f t="shared" si="21"/>
        <v>300000</v>
      </c>
      <c r="W90" s="69">
        <f t="shared" si="29"/>
        <v>2800000</v>
      </c>
      <c r="X90" s="95">
        <f t="shared" si="28"/>
        <v>323.51647428571425</v>
      </c>
    </row>
    <row r="91" spans="16:24" x14ac:dyDescent="0.25">
      <c r="P91" s="15">
        <f t="shared" si="25"/>
        <v>19</v>
      </c>
      <c r="Q91" s="69">
        <v>40000</v>
      </c>
      <c r="R91" s="69">
        <f t="shared" si="26"/>
        <v>4</v>
      </c>
      <c r="S91" s="69">
        <f t="shared" si="22"/>
        <v>323076.60000000003</v>
      </c>
      <c r="T91" s="69">
        <v>1500000</v>
      </c>
      <c r="U91" s="69">
        <f t="shared" si="27"/>
        <v>7400000</v>
      </c>
      <c r="V91" s="69">
        <f t="shared" si="21"/>
        <v>300000</v>
      </c>
      <c r="W91" s="69">
        <f t="shared" si="29"/>
        <v>3200000</v>
      </c>
      <c r="X91" s="95">
        <f t="shared" si="28"/>
        <v>318.07691499999999</v>
      </c>
    </row>
    <row r="92" spans="16:24" x14ac:dyDescent="0.25">
      <c r="P92" s="15">
        <f t="shared" si="25"/>
        <v>20</v>
      </c>
      <c r="Q92" s="69">
        <v>45000</v>
      </c>
      <c r="R92" s="69">
        <f t="shared" si="26"/>
        <v>4</v>
      </c>
      <c r="S92" s="69">
        <f t="shared" si="22"/>
        <v>323076.60000000003</v>
      </c>
      <c r="T92" s="69">
        <v>1500000</v>
      </c>
      <c r="U92" s="69">
        <f t="shared" si="27"/>
        <v>8400000</v>
      </c>
      <c r="V92" s="69">
        <f t="shared" si="21"/>
        <v>300000</v>
      </c>
      <c r="W92" s="69">
        <f t="shared" si="29"/>
        <v>3600000</v>
      </c>
      <c r="X92" s="95">
        <f t="shared" si="28"/>
        <v>313.84614666666664</v>
      </c>
    </row>
    <row r="93" spans="16:24" x14ac:dyDescent="0.25">
      <c r="P93" s="15">
        <f t="shared" si="25"/>
        <v>21</v>
      </c>
      <c r="Q93" s="69">
        <v>50000</v>
      </c>
      <c r="R93" s="69">
        <f t="shared" si="26"/>
        <v>4</v>
      </c>
      <c r="S93" s="69">
        <f t="shared" si="22"/>
        <v>323076.60000000003</v>
      </c>
      <c r="T93" s="69">
        <v>1500000</v>
      </c>
      <c r="U93" s="69">
        <f t="shared" si="27"/>
        <v>9400000</v>
      </c>
      <c r="V93" s="69">
        <f t="shared" si="21"/>
        <v>300000</v>
      </c>
      <c r="W93" s="69">
        <f t="shared" si="29"/>
        <v>4000000</v>
      </c>
      <c r="X93" s="95">
        <f t="shared" si="28"/>
        <v>310.46153199999998</v>
      </c>
    </row>
    <row r="94" spans="16:24" x14ac:dyDescent="0.25">
      <c r="P94" s="15">
        <f t="shared" si="25"/>
        <v>22</v>
      </c>
      <c r="Q94" s="69">
        <v>55000</v>
      </c>
      <c r="R94" s="69">
        <f t="shared" si="26"/>
        <v>4</v>
      </c>
      <c r="S94" s="69">
        <f t="shared" si="22"/>
        <v>323076.60000000003</v>
      </c>
      <c r="T94" s="69">
        <v>1500000</v>
      </c>
      <c r="U94" s="69">
        <f t="shared" si="27"/>
        <v>10400000</v>
      </c>
      <c r="V94" s="69">
        <f t="shared" si="21"/>
        <v>300000</v>
      </c>
      <c r="W94" s="69">
        <f t="shared" si="29"/>
        <v>4400000</v>
      </c>
      <c r="X94" s="95">
        <f t="shared" si="28"/>
        <v>307.69230181818182</v>
      </c>
    </row>
    <row r="95" spans="16:24" x14ac:dyDescent="0.25">
      <c r="P95" s="15">
        <f t="shared" si="25"/>
        <v>23</v>
      </c>
      <c r="Q95" s="69">
        <v>60000</v>
      </c>
      <c r="R95" s="69">
        <f t="shared" si="26"/>
        <v>4</v>
      </c>
      <c r="S95" s="69">
        <f t="shared" si="22"/>
        <v>323076.60000000003</v>
      </c>
      <c r="T95" s="69">
        <v>1500000</v>
      </c>
      <c r="U95" s="69">
        <f t="shared" si="27"/>
        <v>11400000</v>
      </c>
      <c r="V95" s="69">
        <f t="shared" si="21"/>
        <v>300000</v>
      </c>
      <c r="W95" s="69">
        <f t="shared" si="29"/>
        <v>4800000</v>
      </c>
      <c r="X95" s="95">
        <f t="shared" si="28"/>
        <v>305.38461000000001</v>
      </c>
    </row>
    <row r="96" spans="16:24" x14ac:dyDescent="0.25">
      <c r="P96" s="15">
        <f t="shared" si="25"/>
        <v>24</v>
      </c>
      <c r="Q96" s="69">
        <v>65000</v>
      </c>
      <c r="R96" s="69">
        <f t="shared" si="26"/>
        <v>4</v>
      </c>
      <c r="S96" s="69">
        <f t="shared" si="22"/>
        <v>323076.60000000003</v>
      </c>
      <c r="T96" s="69">
        <v>1500000</v>
      </c>
      <c r="U96" s="69">
        <f t="shared" si="27"/>
        <v>12400000</v>
      </c>
      <c r="V96" s="69">
        <f t="shared" si="21"/>
        <v>300000</v>
      </c>
      <c r="W96" s="69">
        <f t="shared" si="29"/>
        <v>5200000</v>
      </c>
      <c r="X96" s="95">
        <f t="shared" si="28"/>
        <v>303.43194769230769</v>
      </c>
    </row>
    <row r="97" spans="16:24" x14ac:dyDescent="0.25">
      <c r="P97" s="15">
        <f t="shared" si="25"/>
        <v>25</v>
      </c>
      <c r="Q97" s="69">
        <v>70000</v>
      </c>
      <c r="R97" s="69">
        <f t="shared" si="26"/>
        <v>4</v>
      </c>
      <c r="S97" s="69">
        <f t="shared" si="22"/>
        <v>323076.60000000003</v>
      </c>
      <c r="T97" s="69">
        <v>1500000</v>
      </c>
      <c r="U97" s="69">
        <f t="shared" si="27"/>
        <v>13400000</v>
      </c>
      <c r="V97" s="69">
        <f t="shared" si="21"/>
        <v>300000</v>
      </c>
      <c r="W97" s="69">
        <f t="shared" si="29"/>
        <v>5600000</v>
      </c>
      <c r="X97" s="95">
        <f t="shared" si="28"/>
        <v>301.75823714285718</v>
      </c>
    </row>
    <row r="98" spans="16:24" x14ac:dyDescent="0.25">
      <c r="P98" s="15">
        <f t="shared" si="25"/>
        <v>26</v>
      </c>
      <c r="Q98" s="69">
        <v>75000</v>
      </c>
      <c r="R98" s="69">
        <f t="shared" si="26"/>
        <v>4</v>
      </c>
      <c r="S98" s="69">
        <f t="shared" si="22"/>
        <v>323076.60000000003</v>
      </c>
      <c r="T98" s="69">
        <v>1500000</v>
      </c>
      <c r="U98" s="69">
        <f t="shared" si="27"/>
        <v>14400000</v>
      </c>
      <c r="V98" s="69">
        <f t="shared" si="21"/>
        <v>300000</v>
      </c>
      <c r="W98" s="69">
        <f t="shared" si="29"/>
        <v>6000000</v>
      </c>
      <c r="X98" s="95">
        <f t="shared" si="28"/>
        <v>300.30768800000004</v>
      </c>
    </row>
    <row r="99" spans="16:24" x14ac:dyDescent="0.25">
      <c r="P99" s="15">
        <f t="shared" si="25"/>
        <v>27</v>
      </c>
      <c r="Q99" s="69">
        <v>80000</v>
      </c>
      <c r="R99" s="69">
        <f t="shared" si="26"/>
        <v>4</v>
      </c>
      <c r="S99" s="69">
        <f t="shared" si="22"/>
        <v>323076.60000000003</v>
      </c>
      <c r="T99" s="69">
        <v>1500000</v>
      </c>
      <c r="U99" s="69">
        <f t="shared" si="27"/>
        <v>15400000</v>
      </c>
      <c r="V99" s="69">
        <f t="shared" si="21"/>
        <v>300000</v>
      </c>
      <c r="W99" s="69">
        <f t="shared" si="29"/>
        <v>6400000</v>
      </c>
      <c r="X99" s="95">
        <f t="shared" si="28"/>
        <v>299.03845749999999</v>
      </c>
    </row>
    <row r="100" spans="16:24" x14ac:dyDescent="0.25">
      <c r="P100" s="15">
        <f t="shared" si="25"/>
        <v>28</v>
      </c>
      <c r="Q100" s="69">
        <v>85000</v>
      </c>
      <c r="R100" s="69">
        <f t="shared" si="26"/>
        <v>4</v>
      </c>
      <c r="S100" s="69">
        <f t="shared" si="22"/>
        <v>323076.60000000003</v>
      </c>
      <c r="T100" s="69">
        <v>1500000</v>
      </c>
      <c r="U100" s="69">
        <f t="shared" si="27"/>
        <v>16400000</v>
      </c>
      <c r="V100" s="69">
        <f t="shared" si="21"/>
        <v>300000</v>
      </c>
      <c r="W100" s="69">
        <f t="shared" si="29"/>
        <v>6800000</v>
      </c>
      <c r="X100" s="95">
        <f t="shared" si="28"/>
        <v>297.91854823529411</v>
      </c>
    </row>
    <row r="101" spans="16:24" x14ac:dyDescent="0.25">
      <c r="P101" s="15">
        <f t="shared" si="25"/>
        <v>29</v>
      </c>
      <c r="Q101" s="69">
        <v>90000</v>
      </c>
      <c r="R101" s="69">
        <f t="shared" si="26"/>
        <v>4</v>
      </c>
      <c r="S101" s="69">
        <f t="shared" si="22"/>
        <v>323076.60000000003</v>
      </c>
      <c r="T101" s="69">
        <v>1500000</v>
      </c>
      <c r="U101" s="69">
        <f t="shared" si="27"/>
        <v>17400000</v>
      </c>
      <c r="V101" s="69">
        <f t="shared" si="21"/>
        <v>300000</v>
      </c>
      <c r="W101" s="69">
        <f t="shared" si="29"/>
        <v>7200000</v>
      </c>
      <c r="X101" s="95">
        <f t="shared" si="28"/>
        <v>296.92307333333338</v>
      </c>
    </row>
    <row r="102" spans="16:24" x14ac:dyDescent="0.25">
      <c r="P102" s="15">
        <f t="shared" si="25"/>
        <v>30</v>
      </c>
      <c r="Q102" s="69">
        <v>95000</v>
      </c>
      <c r="R102" s="69">
        <f t="shared" si="26"/>
        <v>4</v>
      </c>
      <c r="S102" s="69">
        <f t="shared" si="22"/>
        <v>323076.60000000003</v>
      </c>
      <c r="T102" s="69">
        <v>1500000</v>
      </c>
      <c r="U102" s="69">
        <f t="shared" si="27"/>
        <v>18400000</v>
      </c>
      <c r="V102" s="69">
        <f t="shared" si="21"/>
        <v>300000</v>
      </c>
      <c r="W102" s="69">
        <f t="shared" si="29"/>
        <v>7600000</v>
      </c>
      <c r="X102" s="95">
        <f t="shared" si="28"/>
        <v>296.03238526315789</v>
      </c>
    </row>
    <row r="103" spans="16:24" ht="15.75" thickBot="1" x14ac:dyDescent="0.3">
      <c r="P103" s="16">
        <f t="shared" si="25"/>
        <v>31</v>
      </c>
      <c r="Q103" s="72">
        <v>100000</v>
      </c>
      <c r="R103" s="72">
        <f t="shared" si="26"/>
        <v>4</v>
      </c>
      <c r="S103" s="72">
        <f t="shared" si="22"/>
        <v>323076.60000000003</v>
      </c>
      <c r="T103" s="72">
        <v>1500000</v>
      </c>
      <c r="U103" s="72">
        <f t="shared" si="27"/>
        <v>19400000</v>
      </c>
      <c r="V103" s="72">
        <f t="shared" si="21"/>
        <v>300000</v>
      </c>
      <c r="W103" s="72">
        <f t="shared" si="29"/>
        <v>8000000</v>
      </c>
      <c r="X103" s="96">
        <f t="shared" si="28"/>
        <v>295.23076600000002</v>
      </c>
    </row>
    <row r="104" spans="16:24" ht="15.75" thickTop="1" x14ac:dyDescent="0.25"/>
    <row r="106" spans="16:24" ht="15.75" thickBot="1" x14ac:dyDescent="0.3">
      <c r="P106" s="160" t="s">
        <v>204</v>
      </c>
      <c r="Q106" s="160"/>
      <c r="R106" s="160"/>
      <c r="S106" s="160"/>
      <c r="T106" s="160"/>
      <c r="U106" s="160"/>
      <c r="V106" s="160"/>
      <c r="W106" s="160"/>
    </row>
    <row r="107" spans="16:24" ht="46.5" thickTop="1" thickBot="1" x14ac:dyDescent="0.3">
      <c r="P107" s="91" t="s">
        <v>31</v>
      </c>
      <c r="Q107" s="92" t="s">
        <v>32</v>
      </c>
      <c r="R107" s="92" t="s">
        <v>30</v>
      </c>
      <c r="S107" s="92" t="s">
        <v>85</v>
      </c>
      <c r="T107" s="92" t="s">
        <v>34</v>
      </c>
      <c r="U107" s="93" t="s">
        <v>35</v>
      </c>
      <c r="V107" s="92" t="s">
        <v>84</v>
      </c>
      <c r="W107" s="92" t="s">
        <v>36</v>
      </c>
      <c r="X107" s="97" t="s">
        <v>189</v>
      </c>
    </row>
    <row r="108" spans="16:24" ht="15.75" thickTop="1" x14ac:dyDescent="0.25">
      <c r="P108" s="39">
        <v>1</v>
      </c>
      <c r="Q108" s="90">
        <v>100</v>
      </c>
      <c r="R108" s="90">
        <f>+$F$9</f>
        <v>4</v>
      </c>
      <c r="S108" s="90">
        <f>+$L$11*300</f>
        <v>323076.60000000003</v>
      </c>
      <c r="T108" s="90">
        <v>2500000</v>
      </c>
      <c r="U108" s="90">
        <f>(Q108-3000)*300</f>
        <v>-870000</v>
      </c>
      <c r="V108" s="90">
        <f>200000*R108</f>
        <v>800000</v>
      </c>
      <c r="W108" s="90">
        <f>150000*R108</f>
        <v>600000</v>
      </c>
      <c r="X108" s="94">
        <f>IF(R108&gt;0,SUM(S108:W108)/Q108,0)</f>
        <v>33530.766000000003</v>
      </c>
    </row>
    <row r="109" spans="16:24" x14ac:dyDescent="0.25">
      <c r="P109" s="15">
        <f>+P108+1</f>
        <v>2</v>
      </c>
      <c r="Q109" s="69">
        <v>200</v>
      </c>
      <c r="R109" s="69">
        <f>+$F$9</f>
        <v>4</v>
      </c>
      <c r="S109" s="69">
        <f t="shared" ref="S109:S138" si="30">+$L$11*300</f>
        <v>323076.60000000003</v>
      </c>
      <c r="T109" s="69">
        <v>2500000</v>
      </c>
      <c r="U109" s="69">
        <f t="shared" ref="U109:U138" si="31">(Q109-3000)*300</f>
        <v>-840000</v>
      </c>
      <c r="V109" s="69">
        <f t="shared" ref="V109:V138" si="32">200000*R109</f>
        <v>800000</v>
      </c>
      <c r="W109" s="69">
        <v>600000</v>
      </c>
      <c r="X109" s="95">
        <f t="shared" ref="X109:X111" si="33">IF(R109&gt;0,SUM(S109:W109)/Q109,0)</f>
        <v>16915.383000000002</v>
      </c>
    </row>
    <row r="110" spans="16:24" x14ac:dyDescent="0.25">
      <c r="P110" s="15">
        <f t="shared" ref="P110:P138" si="34">+P109+1</f>
        <v>3</v>
      </c>
      <c r="Q110" s="69">
        <v>300</v>
      </c>
      <c r="R110" s="69">
        <f t="shared" ref="R110:R138" si="35">+$F$9</f>
        <v>4</v>
      </c>
      <c r="S110" s="69">
        <f t="shared" si="30"/>
        <v>323076.60000000003</v>
      </c>
      <c r="T110" s="69">
        <v>2500000</v>
      </c>
      <c r="U110" s="69">
        <f t="shared" si="31"/>
        <v>-810000</v>
      </c>
      <c r="V110" s="69">
        <f t="shared" si="32"/>
        <v>800000</v>
      </c>
      <c r="W110" s="69">
        <v>600000</v>
      </c>
      <c r="X110" s="95">
        <f t="shared" si="33"/>
        <v>11376.922</v>
      </c>
    </row>
    <row r="111" spans="16:24" x14ac:dyDescent="0.25">
      <c r="P111" s="15">
        <f t="shared" si="34"/>
        <v>4</v>
      </c>
      <c r="Q111" s="69">
        <v>500</v>
      </c>
      <c r="R111" s="69">
        <f t="shared" si="35"/>
        <v>4</v>
      </c>
      <c r="S111" s="69">
        <f t="shared" si="30"/>
        <v>323076.60000000003</v>
      </c>
      <c r="T111" s="69">
        <v>2500000</v>
      </c>
      <c r="U111" s="69">
        <f t="shared" si="31"/>
        <v>-750000</v>
      </c>
      <c r="V111" s="69">
        <f t="shared" si="32"/>
        <v>800000</v>
      </c>
      <c r="W111" s="69">
        <v>600000</v>
      </c>
      <c r="X111" s="95">
        <f t="shared" si="33"/>
        <v>6946.1531999999997</v>
      </c>
    </row>
    <row r="112" spans="16:24" x14ac:dyDescent="0.25">
      <c r="P112" s="15">
        <f t="shared" si="34"/>
        <v>5</v>
      </c>
      <c r="Q112" s="69">
        <v>1000</v>
      </c>
      <c r="R112" s="69">
        <f t="shared" si="35"/>
        <v>4</v>
      </c>
      <c r="S112" s="69">
        <f t="shared" si="30"/>
        <v>323076.60000000003</v>
      </c>
      <c r="T112" s="69">
        <v>2500000</v>
      </c>
      <c r="U112" s="69">
        <f t="shared" si="31"/>
        <v>-600000</v>
      </c>
      <c r="V112" s="69">
        <f t="shared" si="32"/>
        <v>800000</v>
      </c>
      <c r="W112" s="69">
        <v>600000</v>
      </c>
      <c r="X112" s="95">
        <f t="shared" ref="X112:X138" si="36">IF(R112&gt;0,SUM(S112:W112)/Q112,0)</f>
        <v>3623.0765999999999</v>
      </c>
    </row>
    <row r="113" spans="16:24" x14ac:dyDescent="0.25">
      <c r="P113" s="15">
        <f t="shared" si="34"/>
        <v>6</v>
      </c>
      <c r="Q113" s="69">
        <v>2000</v>
      </c>
      <c r="R113" s="69">
        <f t="shared" si="35"/>
        <v>4</v>
      </c>
      <c r="S113" s="69">
        <f t="shared" si="30"/>
        <v>323076.60000000003</v>
      </c>
      <c r="T113" s="69">
        <v>2500000</v>
      </c>
      <c r="U113" s="69">
        <f t="shared" si="31"/>
        <v>-300000</v>
      </c>
      <c r="V113" s="69">
        <f t="shared" si="32"/>
        <v>800000</v>
      </c>
      <c r="W113" s="69">
        <v>600000</v>
      </c>
      <c r="X113" s="95">
        <f t="shared" si="36"/>
        <v>1961.5382999999999</v>
      </c>
    </row>
    <row r="114" spans="16:24" x14ac:dyDescent="0.25">
      <c r="P114" s="15">
        <f t="shared" si="34"/>
        <v>7</v>
      </c>
      <c r="Q114" s="69">
        <v>3000</v>
      </c>
      <c r="R114" s="69">
        <f t="shared" si="35"/>
        <v>4</v>
      </c>
      <c r="S114" s="69">
        <f t="shared" si="30"/>
        <v>323076.60000000003</v>
      </c>
      <c r="T114" s="69">
        <v>2500000</v>
      </c>
      <c r="U114" s="69">
        <f t="shared" si="31"/>
        <v>0</v>
      </c>
      <c r="V114" s="69">
        <f t="shared" si="32"/>
        <v>800000</v>
      </c>
      <c r="W114" s="69">
        <v>600000</v>
      </c>
      <c r="X114" s="95">
        <f t="shared" si="36"/>
        <v>1407.6922</v>
      </c>
    </row>
    <row r="115" spans="16:24" x14ac:dyDescent="0.25">
      <c r="P115" s="15">
        <f t="shared" si="34"/>
        <v>8</v>
      </c>
      <c r="Q115" s="69">
        <v>4000</v>
      </c>
      <c r="R115" s="69">
        <f t="shared" si="35"/>
        <v>4</v>
      </c>
      <c r="S115" s="69">
        <f t="shared" si="30"/>
        <v>323076.60000000003</v>
      </c>
      <c r="T115" s="69">
        <v>2500000</v>
      </c>
      <c r="U115" s="69">
        <f t="shared" si="31"/>
        <v>300000</v>
      </c>
      <c r="V115" s="69">
        <f t="shared" si="32"/>
        <v>800000</v>
      </c>
      <c r="W115" s="69">
        <v>600000</v>
      </c>
      <c r="X115" s="95">
        <f t="shared" si="36"/>
        <v>1130.7691499999999</v>
      </c>
    </row>
    <row r="116" spans="16:24" x14ac:dyDescent="0.25">
      <c r="P116" s="15">
        <f t="shared" si="34"/>
        <v>9</v>
      </c>
      <c r="Q116" s="69">
        <v>5000</v>
      </c>
      <c r="R116" s="69">
        <f t="shared" si="35"/>
        <v>4</v>
      </c>
      <c r="S116" s="69">
        <f t="shared" si="30"/>
        <v>323076.60000000003</v>
      </c>
      <c r="T116" s="69">
        <v>2500000</v>
      </c>
      <c r="U116" s="69">
        <f t="shared" si="31"/>
        <v>600000</v>
      </c>
      <c r="V116" s="69">
        <f t="shared" si="32"/>
        <v>800000</v>
      </c>
      <c r="W116" s="69">
        <v>600000</v>
      </c>
      <c r="X116" s="95">
        <f t="shared" si="36"/>
        <v>964.61531999999988</v>
      </c>
    </row>
    <row r="117" spans="16:24" x14ac:dyDescent="0.25">
      <c r="P117" s="15">
        <f t="shared" si="34"/>
        <v>10</v>
      </c>
      <c r="Q117" s="69">
        <v>6000</v>
      </c>
      <c r="R117" s="69">
        <f t="shared" si="35"/>
        <v>4</v>
      </c>
      <c r="S117" s="69">
        <f t="shared" si="30"/>
        <v>323076.60000000003</v>
      </c>
      <c r="T117" s="69">
        <v>2500000</v>
      </c>
      <c r="U117" s="69">
        <f t="shared" si="31"/>
        <v>900000</v>
      </c>
      <c r="V117" s="69">
        <f t="shared" si="32"/>
        <v>800000</v>
      </c>
      <c r="W117" s="69">
        <f>+$W$116*Q117/$Q$116</f>
        <v>720000</v>
      </c>
      <c r="X117" s="95">
        <f t="shared" si="36"/>
        <v>873.84609999999998</v>
      </c>
    </row>
    <row r="118" spans="16:24" x14ac:dyDescent="0.25">
      <c r="P118" s="15">
        <f t="shared" si="34"/>
        <v>11</v>
      </c>
      <c r="Q118" s="69">
        <v>7000</v>
      </c>
      <c r="R118" s="69">
        <f t="shared" si="35"/>
        <v>4</v>
      </c>
      <c r="S118" s="69">
        <f t="shared" si="30"/>
        <v>323076.60000000003</v>
      </c>
      <c r="T118" s="69">
        <v>2500000</v>
      </c>
      <c r="U118" s="69">
        <f t="shared" si="31"/>
        <v>1200000</v>
      </c>
      <c r="V118" s="69">
        <f t="shared" si="32"/>
        <v>800000</v>
      </c>
      <c r="W118" s="69">
        <f t="shared" ref="W118:W138" si="37">+$W$116*Q118/$Q$116</f>
        <v>840000</v>
      </c>
      <c r="X118" s="95">
        <f t="shared" si="36"/>
        <v>809.01094285714282</v>
      </c>
    </row>
    <row r="119" spans="16:24" x14ac:dyDescent="0.25">
      <c r="P119" s="15">
        <f t="shared" si="34"/>
        <v>12</v>
      </c>
      <c r="Q119" s="69">
        <v>8000</v>
      </c>
      <c r="R119" s="69">
        <f t="shared" si="35"/>
        <v>4</v>
      </c>
      <c r="S119" s="69">
        <f t="shared" si="30"/>
        <v>323076.60000000003</v>
      </c>
      <c r="T119" s="69">
        <v>2500000</v>
      </c>
      <c r="U119" s="69">
        <f t="shared" si="31"/>
        <v>1500000</v>
      </c>
      <c r="V119" s="69">
        <f t="shared" si="32"/>
        <v>800000</v>
      </c>
      <c r="W119" s="69">
        <f t="shared" si="37"/>
        <v>960000</v>
      </c>
      <c r="X119" s="95">
        <f t="shared" si="36"/>
        <v>760.38457499999993</v>
      </c>
    </row>
    <row r="120" spans="16:24" x14ac:dyDescent="0.25">
      <c r="P120" s="15">
        <f t="shared" si="34"/>
        <v>13</v>
      </c>
      <c r="Q120" s="69">
        <v>10000</v>
      </c>
      <c r="R120" s="69">
        <f t="shared" si="35"/>
        <v>4</v>
      </c>
      <c r="S120" s="69">
        <f t="shared" si="30"/>
        <v>323076.60000000003</v>
      </c>
      <c r="T120" s="69">
        <v>2500000</v>
      </c>
      <c r="U120" s="69">
        <f t="shared" si="31"/>
        <v>2100000</v>
      </c>
      <c r="V120" s="69">
        <f t="shared" si="32"/>
        <v>800000</v>
      </c>
      <c r="W120" s="69">
        <f t="shared" si="37"/>
        <v>1200000</v>
      </c>
      <c r="X120" s="95">
        <f t="shared" si="36"/>
        <v>692.30765999999994</v>
      </c>
    </row>
    <row r="121" spans="16:24" x14ac:dyDescent="0.25">
      <c r="P121" s="15">
        <f t="shared" si="34"/>
        <v>14</v>
      </c>
      <c r="Q121" s="69">
        <v>15000</v>
      </c>
      <c r="R121" s="69">
        <f t="shared" si="35"/>
        <v>4</v>
      </c>
      <c r="S121" s="69">
        <f t="shared" si="30"/>
        <v>323076.60000000003</v>
      </c>
      <c r="T121" s="69">
        <v>2500000</v>
      </c>
      <c r="U121" s="69">
        <f t="shared" si="31"/>
        <v>3600000</v>
      </c>
      <c r="V121" s="69">
        <f t="shared" si="32"/>
        <v>800000</v>
      </c>
      <c r="W121" s="69">
        <f t="shared" si="37"/>
        <v>1800000</v>
      </c>
      <c r="X121" s="95">
        <f t="shared" si="36"/>
        <v>601.53843999999992</v>
      </c>
    </row>
    <row r="122" spans="16:24" x14ac:dyDescent="0.25">
      <c r="P122" s="15">
        <f t="shared" si="34"/>
        <v>15</v>
      </c>
      <c r="Q122" s="69">
        <v>20000</v>
      </c>
      <c r="R122" s="69">
        <f t="shared" si="35"/>
        <v>4</v>
      </c>
      <c r="S122" s="69">
        <f t="shared" si="30"/>
        <v>323076.60000000003</v>
      </c>
      <c r="T122" s="69">
        <v>2500000</v>
      </c>
      <c r="U122" s="69">
        <f t="shared" si="31"/>
        <v>5100000</v>
      </c>
      <c r="V122" s="69">
        <f t="shared" si="32"/>
        <v>800000</v>
      </c>
      <c r="W122" s="69">
        <f t="shared" si="37"/>
        <v>2400000</v>
      </c>
      <c r="X122" s="95">
        <f t="shared" si="36"/>
        <v>556.15382999999997</v>
      </c>
    </row>
    <row r="123" spans="16:24" x14ac:dyDescent="0.25">
      <c r="P123" s="15">
        <f t="shared" si="34"/>
        <v>16</v>
      </c>
      <c r="Q123" s="69">
        <v>25000</v>
      </c>
      <c r="R123" s="69">
        <f t="shared" si="35"/>
        <v>4</v>
      </c>
      <c r="S123" s="69">
        <f t="shared" si="30"/>
        <v>323076.60000000003</v>
      </c>
      <c r="T123" s="69">
        <v>2500000</v>
      </c>
      <c r="U123" s="69">
        <f t="shared" si="31"/>
        <v>6600000</v>
      </c>
      <c r="V123" s="69">
        <f t="shared" si="32"/>
        <v>800000</v>
      </c>
      <c r="W123" s="69">
        <f t="shared" si="37"/>
        <v>3000000</v>
      </c>
      <c r="X123" s="95">
        <f t="shared" si="36"/>
        <v>528.92306399999995</v>
      </c>
    </row>
    <row r="124" spans="16:24" x14ac:dyDescent="0.25">
      <c r="P124" s="15">
        <f t="shared" si="34"/>
        <v>17</v>
      </c>
      <c r="Q124" s="69">
        <v>30000</v>
      </c>
      <c r="R124" s="69">
        <f t="shared" si="35"/>
        <v>4</v>
      </c>
      <c r="S124" s="69">
        <f t="shared" si="30"/>
        <v>323076.60000000003</v>
      </c>
      <c r="T124" s="69">
        <v>2500000</v>
      </c>
      <c r="U124" s="69">
        <f t="shared" si="31"/>
        <v>8100000</v>
      </c>
      <c r="V124" s="69">
        <f t="shared" si="32"/>
        <v>800000</v>
      </c>
      <c r="W124" s="69">
        <f t="shared" si="37"/>
        <v>3600000</v>
      </c>
      <c r="X124" s="95">
        <f t="shared" si="36"/>
        <v>510.76921999999996</v>
      </c>
    </row>
    <row r="125" spans="16:24" x14ac:dyDescent="0.25">
      <c r="P125" s="15">
        <f t="shared" si="34"/>
        <v>18</v>
      </c>
      <c r="Q125" s="69">
        <v>35000</v>
      </c>
      <c r="R125" s="69">
        <f t="shared" si="35"/>
        <v>4</v>
      </c>
      <c r="S125" s="69">
        <f t="shared" si="30"/>
        <v>323076.60000000003</v>
      </c>
      <c r="T125" s="69">
        <v>2500000</v>
      </c>
      <c r="U125" s="69">
        <f t="shared" si="31"/>
        <v>9600000</v>
      </c>
      <c r="V125" s="69">
        <f t="shared" si="32"/>
        <v>800000</v>
      </c>
      <c r="W125" s="69">
        <f t="shared" si="37"/>
        <v>4200000</v>
      </c>
      <c r="X125" s="95">
        <f t="shared" si="36"/>
        <v>497.80218857142859</v>
      </c>
    </row>
    <row r="126" spans="16:24" x14ac:dyDescent="0.25">
      <c r="P126" s="15">
        <f t="shared" si="34"/>
        <v>19</v>
      </c>
      <c r="Q126" s="69">
        <v>40000</v>
      </c>
      <c r="R126" s="69">
        <f t="shared" si="35"/>
        <v>4</v>
      </c>
      <c r="S126" s="69">
        <f t="shared" si="30"/>
        <v>323076.60000000003</v>
      </c>
      <c r="T126" s="69">
        <v>2500000</v>
      </c>
      <c r="U126" s="69">
        <f t="shared" si="31"/>
        <v>11100000</v>
      </c>
      <c r="V126" s="69">
        <f t="shared" si="32"/>
        <v>800000</v>
      </c>
      <c r="W126" s="69">
        <f t="shared" si="37"/>
        <v>4800000</v>
      </c>
      <c r="X126" s="95">
        <f t="shared" si="36"/>
        <v>488.07691500000004</v>
      </c>
    </row>
    <row r="127" spans="16:24" x14ac:dyDescent="0.25">
      <c r="P127" s="15">
        <f t="shared" si="34"/>
        <v>20</v>
      </c>
      <c r="Q127" s="69">
        <v>45000</v>
      </c>
      <c r="R127" s="69">
        <f t="shared" si="35"/>
        <v>4</v>
      </c>
      <c r="S127" s="69">
        <f t="shared" si="30"/>
        <v>323076.60000000003</v>
      </c>
      <c r="T127" s="69">
        <v>2500000</v>
      </c>
      <c r="U127" s="69">
        <f t="shared" si="31"/>
        <v>12600000</v>
      </c>
      <c r="V127" s="69">
        <f t="shared" si="32"/>
        <v>800000</v>
      </c>
      <c r="W127" s="69">
        <f t="shared" si="37"/>
        <v>5400000</v>
      </c>
      <c r="X127" s="95">
        <f t="shared" si="36"/>
        <v>480.51281333333338</v>
      </c>
    </row>
    <row r="128" spans="16:24" x14ac:dyDescent="0.25">
      <c r="P128" s="15">
        <f t="shared" si="34"/>
        <v>21</v>
      </c>
      <c r="Q128" s="69">
        <v>50000</v>
      </c>
      <c r="R128" s="69">
        <f t="shared" si="35"/>
        <v>4</v>
      </c>
      <c r="S128" s="69">
        <f t="shared" si="30"/>
        <v>323076.60000000003</v>
      </c>
      <c r="T128" s="69">
        <v>2500000</v>
      </c>
      <c r="U128" s="69">
        <f t="shared" si="31"/>
        <v>14100000</v>
      </c>
      <c r="V128" s="69">
        <f t="shared" si="32"/>
        <v>800000</v>
      </c>
      <c r="W128" s="69">
        <f t="shared" si="37"/>
        <v>6000000</v>
      </c>
      <c r="X128" s="95">
        <f t="shared" si="36"/>
        <v>474.46153200000003</v>
      </c>
    </row>
    <row r="129" spans="16:25" x14ac:dyDescent="0.25">
      <c r="P129" s="15">
        <f t="shared" si="34"/>
        <v>22</v>
      </c>
      <c r="Q129" s="69">
        <v>55000</v>
      </c>
      <c r="R129" s="69">
        <f t="shared" si="35"/>
        <v>4</v>
      </c>
      <c r="S129" s="69">
        <f t="shared" si="30"/>
        <v>323076.60000000003</v>
      </c>
      <c r="T129" s="69">
        <v>2500000</v>
      </c>
      <c r="U129" s="69">
        <f t="shared" si="31"/>
        <v>15600000</v>
      </c>
      <c r="V129" s="69">
        <f t="shared" si="32"/>
        <v>800000</v>
      </c>
      <c r="W129" s="69">
        <f t="shared" si="37"/>
        <v>6600000</v>
      </c>
      <c r="X129" s="95">
        <f t="shared" si="36"/>
        <v>469.51048363636369</v>
      </c>
    </row>
    <row r="130" spans="16:25" x14ac:dyDescent="0.25">
      <c r="P130" s="15">
        <f t="shared" si="34"/>
        <v>23</v>
      </c>
      <c r="Q130" s="69">
        <v>60000</v>
      </c>
      <c r="R130" s="69">
        <f t="shared" si="35"/>
        <v>4</v>
      </c>
      <c r="S130" s="69">
        <f t="shared" si="30"/>
        <v>323076.60000000003</v>
      </c>
      <c r="T130" s="69">
        <v>2500000</v>
      </c>
      <c r="U130" s="69">
        <f t="shared" si="31"/>
        <v>17100000</v>
      </c>
      <c r="V130" s="69">
        <f t="shared" si="32"/>
        <v>800000</v>
      </c>
      <c r="W130" s="69">
        <f t="shared" si="37"/>
        <v>7200000</v>
      </c>
      <c r="X130" s="95">
        <f t="shared" si="36"/>
        <v>465.38461000000001</v>
      </c>
    </row>
    <row r="131" spans="16:25" x14ac:dyDescent="0.25">
      <c r="P131" s="15">
        <f t="shared" si="34"/>
        <v>24</v>
      </c>
      <c r="Q131" s="69">
        <v>65000</v>
      </c>
      <c r="R131" s="69">
        <f t="shared" si="35"/>
        <v>4</v>
      </c>
      <c r="S131" s="69">
        <f t="shared" si="30"/>
        <v>323076.60000000003</v>
      </c>
      <c r="T131" s="69">
        <v>2500000</v>
      </c>
      <c r="U131" s="69">
        <f t="shared" si="31"/>
        <v>18600000</v>
      </c>
      <c r="V131" s="69">
        <f t="shared" si="32"/>
        <v>800000</v>
      </c>
      <c r="W131" s="69">
        <f t="shared" si="37"/>
        <v>7800000</v>
      </c>
      <c r="X131" s="95">
        <f t="shared" si="36"/>
        <v>461.8934861538462</v>
      </c>
    </row>
    <row r="132" spans="16:25" x14ac:dyDescent="0.25">
      <c r="P132" s="15">
        <f t="shared" si="34"/>
        <v>25</v>
      </c>
      <c r="Q132" s="69">
        <v>70000</v>
      </c>
      <c r="R132" s="69">
        <f t="shared" si="35"/>
        <v>4</v>
      </c>
      <c r="S132" s="69">
        <f t="shared" si="30"/>
        <v>323076.60000000003</v>
      </c>
      <c r="T132" s="69">
        <v>2500000</v>
      </c>
      <c r="U132" s="69">
        <f t="shared" si="31"/>
        <v>20100000</v>
      </c>
      <c r="V132" s="69">
        <f t="shared" si="32"/>
        <v>800000</v>
      </c>
      <c r="W132" s="69">
        <f t="shared" si="37"/>
        <v>8400000</v>
      </c>
      <c r="X132" s="95">
        <f t="shared" si="36"/>
        <v>458.90109428571429</v>
      </c>
    </row>
    <row r="133" spans="16:25" x14ac:dyDescent="0.25">
      <c r="P133" s="15">
        <f t="shared" si="34"/>
        <v>26</v>
      </c>
      <c r="Q133" s="69">
        <v>75000</v>
      </c>
      <c r="R133" s="69">
        <f t="shared" si="35"/>
        <v>4</v>
      </c>
      <c r="S133" s="69">
        <f t="shared" si="30"/>
        <v>323076.60000000003</v>
      </c>
      <c r="T133" s="69">
        <v>2500000</v>
      </c>
      <c r="U133" s="69">
        <f t="shared" si="31"/>
        <v>21600000</v>
      </c>
      <c r="V133" s="69">
        <f t="shared" si="32"/>
        <v>800000</v>
      </c>
      <c r="W133" s="69">
        <f t="shared" si="37"/>
        <v>9000000</v>
      </c>
      <c r="X133" s="95">
        <f t="shared" si="36"/>
        <v>456.30768800000004</v>
      </c>
    </row>
    <row r="134" spans="16:25" x14ac:dyDescent="0.25">
      <c r="P134" s="15">
        <f t="shared" si="34"/>
        <v>27</v>
      </c>
      <c r="Q134" s="69">
        <v>80000</v>
      </c>
      <c r="R134" s="69">
        <f t="shared" si="35"/>
        <v>4</v>
      </c>
      <c r="S134" s="69">
        <f t="shared" si="30"/>
        <v>323076.60000000003</v>
      </c>
      <c r="T134" s="69">
        <v>2500000</v>
      </c>
      <c r="U134" s="69">
        <f t="shared" si="31"/>
        <v>23100000</v>
      </c>
      <c r="V134" s="69">
        <f t="shared" si="32"/>
        <v>800000</v>
      </c>
      <c r="W134" s="69">
        <f t="shared" si="37"/>
        <v>9600000</v>
      </c>
      <c r="X134" s="95">
        <f t="shared" si="36"/>
        <v>454.03845749999999</v>
      </c>
    </row>
    <row r="135" spans="16:25" x14ac:dyDescent="0.25">
      <c r="P135" s="15">
        <f t="shared" si="34"/>
        <v>28</v>
      </c>
      <c r="Q135" s="69">
        <v>85000</v>
      </c>
      <c r="R135" s="69">
        <f t="shared" si="35"/>
        <v>4</v>
      </c>
      <c r="S135" s="69">
        <f t="shared" si="30"/>
        <v>323076.60000000003</v>
      </c>
      <c r="T135" s="69">
        <v>2500000</v>
      </c>
      <c r="U135" s="69">
        <f t="shared" si="31"/>
        <v>24600000</v>
      </c>
      <c r="V135" s="69">
        <f t="shared" si="32"/>
        <v>800000</v>
      </c>
      <c r="W135" s="69">
        <f t="shared" si="37"/>
        <v>10200000</v>
      </c>
      <c r="X135" s="95">
        <f t="shared" si="36"/>
        <v>452.03619529411765</v>
      </c>
    </row>
    <row r="136" spans="16:25" x14ac:dyDescent="0.25">
      <c r="P136" s="15">
        <f t="shared" si="34"/>
        <v>29</v>
      </c>
      <c r="Q136" s="69">
        <v>90000</v>
      </c>
      <c r="R136" s="69">
        <f t="shared" si="35"/>
        <v>4</v>
      </c>
      <c r="S136" s="69">
        <f t="shared" si="30"/>
        <v>323076.60000000003</v>
      </c>
      <c r="T136" s="69">
        <v>2500000</v>
      </c>
      <c r="U136" s="69">
        <f t="shared" si="31"/>
        <v>26100000</v>
      </c>
      <c r="V136" s="69">
        <f t="shared" si="32"/>
        <v>800000</v>
      </c>
      <c r="W136" s="69">
        <f t="shared" si="37"/>
        <v>10800000</v>
      </c>
      <c r="X136" s="95">
        <f t="shared" si="36"/>
        <v>450.25640666666669</v>
      </c>
    </row>
    <row r="137" spans="16:25" x14ac:dyDescent="0.25">
      <c r="P137" s="15">
        <f t="shared" si="34"/>
        <v>30</v>
      </c>
      <c r="Q137" s="69">
        <v>95000</v>
      </c>
      <c r="R137" s="69">
        <f t="shared" si="35"/>
        <v>4</v>
      </c>
      <c r="S137" s="69">
        <f t="shared" si="30"/>
        <v>323076.60000000003</v>
      </c>
      <c r="T137" s="69">
        <v>2500000</v>
      </c>
      <c r="U137" s="69">
        <f t="shared" si="31"/>
        <v>27600000</v>
      </c>
      <c r="V137" s="69">
        <f t="shared" si="32"/>
        <v>800000</v>
      </c>
      <c r="W137" s="69">
        <f t="shared" si="37"/>
        <v>11400000</v>
      </c>
      <c r="X137" s="95">
        <f t="shared" si="36"/>
        <v>448.66396421052633</v>
      </c>
    </row>
    <row r="138" spans="16:25" ht="15.75" thickBot="1" x14ac:dyDescent="0.3">
      <c r="P138" s="16">
        <f t="shared" si="34"/>
        <v>31</v>
      </c>
      <c r="Q138" s="72">
        <v>100000</v>
      </c>
      <c r="R138" s="72">
        <f t="shared" si="35"/>
        <v>4</v>
      </c>
      <c r="S138" s="72">
        <f t="shared" si="30"/>
        <v>323076.60000000003</v>
      </c>
      <c r="T138" s="72">
        <v>2500000</v>
      </c>
      <c r="U138" s="72">
        <f t="shared" si="31"/>
        <v>29100000</v>
      </c>
      <c r="V138" s="72">
        <f t="shared" si="32"/>
        <v>800000</v>
      </c>
      <c r="W138" s="72">
        <f t="shared" si="37"/>
        <v>12000000</v>
      </c>
      <c r="X138" s="96">
        <f t="shared" si="36"/>
        <v>447.23076600000002</v>
      </c>
    </row>
    <row r="139" spans="16:25" ht="15.75" thickTop="1" x14ac:dyDescent="0.25"/>
    <row r="141" spans="16:25" ht="15.75" thickBot="1" x14ac:dyDescent="0.3">
      <c r="P141" s="160" t="s">
        <v>205</v>
      </c>
      <c r="Q141" s="160"/>
      <c r="R141" s="160"/>
      <c r="S141" s="160"/>
      <c r="T141" s="160"/>
      <c r="U141" s="160"/>
      <c r="V141" s="160"/>
      <c r="W141" s="160"/>
    </row>
    <row r="142" spans="16:25" ht="46.5" thickTop="1" thickBot="1" x14ac:dyDescent="0.3">
      <c r="P142" s="91" t="s">
        <v>31</v>
      </c>
      <c r="Q142" s="92" t="s">
        <v>32</v>
      </c>
      <c r="R142" s="92" t="s">
        <v>30</v>
      </c>
      <c r="S142" s="92" t="s">
        <v>85</v>
      </c>
      <c r="T142" s="92" t="s">
        <v>34</v>
      </c>
      <c r="U142" s="93" t="s">
        <v>35</v>
      </c>
      <c r="V142" s="92" t="s">
        <v>84</v>
      </c>
      <c r="W142" s="92" t="s">
        <v>206</v>
      </c>
      <c r="X142" s="92" t="s">
        <v>36</v>
      </c>
      <c r="Y142" s="97" t="s">
        <v>189</v>
      </c>
    </row>
    <row r="143" spans="16:25" ht="15.75" thickTop="1" x14ac:dyDescent="0.25">
      <c r="P143" s="39">
        <v>1</v>
      </c>
      <c r="Q143" s="90">
        <v>100</v>
      </c>
      <c r="R143" s="90">
        <f>+$F$9</f>
        <v>4</v>
      </c>
      <c r="S143" s="90">
        <f>+$L$11*300</f>
        <v>323076.60000000003</v>
      </c>
      <c r="T143" s="90">
        <v>3500000</v>
      </c>
      <c r="U143" s="90">
        <f>(Q143-3000)*350</f>
        <v>-1015000</v>
      </c>
      <c r="V143" s="90">
        <f>200000*R143</f>
        <v>800000</v>
      </c>
      <c r="W143" s="90">
        <f>35*$F$11/10*$H$11/10*$F$9</f>
        <v>970200</v>
      </c>
      <c r="X143" s="90">
        <f>200000*R143</f>
        <v>800000</v>
      </c>
      <c r="Y143" s="94">
        <f t="shared" ref="Y143:Y173" si="38">IF(R143&gt;0,SUM(S143:X143)/Q143,0)</f>
        <v>53782.765999999996</v>
      </c>
    </row>
    <row r="144" spans="16:25" x14ac:dyDescent="0.25">
      <c r="P144" s="15">
        <f>+P143+1</f>
        <v>2</v>
      </c>
      <c r="Q144" s="69">
        <v>200</v>
      </c>
      <c r="R144" s="69">
        <f>+$F$9</f>
        <v>4</v>
      </c>
      <c r="S144" s="69">
        <f t="shared" ref="S144:S173" si="39">+$L$11*300</f>
        <v>323076.60000000003</v>
      </c>
      <c r="T144" s="69">
        <v>3500000</v>
      </c>
      <c r="U144" s="69">
        <f t="shared" ref="U144:U173" si="40">(Q144-3000)*350</f>
        <v>-980000</v>
      </c>
      <c r="V144" s="69">
        <f t="shared" ref="V144:V173" si="41">200000*R144</f>
        <v>800000</v>
      </c>
      <c r="W144" s="69">
        <v>1142400</v>
      </c>
      <c r="X144" s="69">
        <v>800000</v>
      </c>
      <c r="Y144" s="95">
        <f t="shared" si="38"/>
        <v>27927.382999999998</v>
      </c>
    </row>
    <row r="145" spans="16:25" x14ac:dyDescent="0.25">
      <c r="P145" s="15">
        <f t="shared" ref="P145:P173" si="42">+P144+1</f>
        <v>3</v>
      </c>
      <c r="Q145" s="69">
        <v>300</v>
      </c>
      <c r="R145" s="69">
        <f t="shared" ref="R145:R173" si="43">+$F$9</f>
        <v>4</v>
      </c>
      <c r="S145" s="69">
        <f t="shared" si="39"/>
        <v>323076.60000000003</v>
      </c>
      <c r="T145" s="69">
        <v>3500000</v>
      </c>
      <c r="U145" s="69">
        <f t="shared" si="40"/>
        <v>-945000</v>
      </c>
      <c r="V145" s="69">
        <f t="shared" si="41"/>
        <v>800000</v>
      </c>
      <c r="W145" s="69">
        <v>1142400</v>
      </c>
      <c r="X145" s="69">
        <v>800000</v>
      </c>
      <c r="Y145" s="95">
        <f t="shared" si="38"/>
        <v>18734.921999999999</v>
      </c>
    </row>
    <row r="146" spans="16:25" x14ac:dyDescent="0.25">
      <c r="P146" s="15">
        <f t="shared" si="42"/>
        <v>4</v>
      </c>
      <c r="Q146" s="69">
        <v>500</v>
      </c>
      <c r="R146" s="69">
        <f t="shared" si="43"/>
        <v>4</v>
      </c>
      <c r="S146" s="69">
        <f t="shared" si="39"/>
        <v>323076.60000000003</v>
      </c>
      <c r="T146" s="69">
        <v>3500000</v>
      </c>
      <c r="U146" s="69">
        <f t="shared" si="40"/>
        <v>-875000</v>
      </c>
      <c r="V146" s="69">
        <f t="shared" si="41"/>
        <v>800000</v>
      </c>
      <c r="W146" s="69">
        <v>1142400</v>
      </c>
      <c r="X146" s="69">
        <v>800000</v>
      </c>
      <c r="Y146" s="95">
        <f t="shared" si="38"/>
        <v>11380.9532</v>
      </c>
    </row>
    <row r="147" spans="16:25" x14ac:dyDescent="0.25">
      <c r="P147" s="15">
        <f t="shared" si="42"/>
        <v>5</v>
      </c>
      <c r="Q147" s="69">
        <v>1000</v>
      </c>
      <c r="R147" s="69">
        <f t="shared" si="43"/>
        <v>4</v>
      </c>
      <c r="S147" s="69">
        <f t="shared" si="39"/>
        <v>323076.60000000003</v>
      </c>
      <c r="T147" s="69">
        <v>3500000</v>
      </c>
      <c r="U147" s="69">
        <f t="shared" si="40"/>
        <v>-700000</v>
      </c>
      <c r="V147" s="69">
        <f t="shared" si="41"/>
        <v>800000</v>
      </c>
      <c r="W147" s="69">
        <v>1142400</v>
      </c>
      <c r="X147" s="69">
        <v>800000</v>
      </c>
      <c r="Y147" s="95">
        <f t="shared" si="38"/>
        <v>5865.4766</v>
      </c>
    </row>
    <row r="148" spans="16:25" x14ac:dyDescent="0.25">
      <c r="P148" s="15">
        <f t="shared" si="42"/>
        <v>6</v>
      </c>
      <c r="Q148" s="69">
        <v>2000</v>
      </c>
      <c r="R148" s="69">
        <f t="shared" si="43"/>
        <v>4</v>
      </c>
      <c r="S148" s="69">
        <f t="shared" si="39"/>
        <v>323076.60000000003</v>
      </c>
      <c r="T148" s="69">
        <v>3500000</v>
      </c>
      <c r="U148" s="69">
        <f t="shared" si="40"/>
        <v>-350000</v>
      </c>
      <c r="V148" s="69">
        <f t="shared" si="41"/>
        <v>800000</v>
      </c>
      <c r="W148" s="69">
        <v>1142400</v>
      </c>
      <c r="X148" s="69">
        <v>800000</v>
      </c>
      <c r="Y148" s="95">
        <f t="shared" si="38"/>
        <v>3107.7383</v>
      </c>
    </row>
    <row r="149" spans="16:25" x14ac:dyDescent="0.25">
      <c r="P149" s="15">
        <f t="shared" si="42"/>
        <v>7</v>
      </c>
      <c r="Q149" s="69">
        <v>3000</v>
      </c>
      <c r="R149" s="69">
        <f t="shared" si="43"/>
        <v>4</v>
      </c>
      <c r="S149" s="69">
        <f t="shared" si="39"/>
        <v>323076.60000000003</v>
      </c>
      <c r="T149" s="69">
        <v>3500000</v>
      </c>
      <c r="U149" s="69">
        <f t="shared" si="40"/>
        <v>0</v>
      </c>
      <c r="V149" s="69">
        <f t="shared" si="41"/>
        <v>800000</v>
      </c>
      <c r="W149" s="69">
        <v>1142400</v>
      </c>
      <c r="X149" s="69">
        <v>800000</v>
      </c>
      <c r="Y149" s="95">
        <f t="shared" si="38"/>
        <v>2188.4921999999997</v>
      </c>
    </row>
    <row r="150" spans="16:25" x14ac:dyDescent="0.25">
      <c r="P150" s="15">
        <f t="shared" si="42"/>
        <v>8</v>
      </c>
      <c r="Q150" s="69">
        <v>4000</v>
      </c>
      <c r="R150" s="69">
        <f t="shared" si="43"/>
        <v>4</v>
      </c>
      <c r="S150" s="69">
        <f t="shared" si="39"/>
        <v>323076.60000000003</v>
      </c>
      <c r="T150" s="69">
        <v>3500000</v>
      </c>
      <c r="U150" s="69">
        <f t="shared" si="40"/>
        <v>350000</v>
      </c>
      <c r="V150" s="69">
        <f t="shared" si="41"/>
        <v>800000</v>
      </c>
      <c r="W150" s="69">
        <v>1142400</v>
      </c>
      <c r="X150" s="69">
        <v>800000</v>
      </c>
      <c r="Y150" s="95">
        <f t="shared" si="38"/>
        <v>1728.86915</v>
      </c>
    </row>
    <row r="151" spans="16:25" x14ac:dyDescent="0.25">
      <c r="P151" s="15">
        <f t="shared" si="42"/>
        <v>9</v>
      </c>
      <c r="Q151" s="69">
        <v>5000</v>
      </c>
      <c r="R151" s="69">
        <f t="shared" si="43"/>
        <v>4</v>
      </c>
      <c r="S151" s="69">
        <f t="shared" si="39"/>
        <v>323076.60000000003</v>
      </c>
      <c r="T151" s="69">
        <v>3500000</v>
      </c>
      <c r="U151" s="69">
        <f t="shared" si="40"/>
        <v>700000</v>
      </c>
      <c r="V151" s="69">
        <f t="shared" si="41"/>
        <v>800000</v>
      </c>
      <c r="W151" s="69">
        <v>1142400</v>
      </c>
      <c r="X151" s="69">
        <v>800000</v>
      </c>
      <c r="Y151" s="95">
        <f t="shared" si="38"/>
        <v>1453.0953199999999</v>
      </c>
    </row>
    <row r="152" spans="16:25" x14ac:dyDescent="0.25">
      <c r="P152" s="15">
        <f t="shared" si="42"/>
        <v>10</v>
      </c>
      <c r="Q152" s="69">
        <v>6000</v>
      </c>
      <c r="R152" s="69">
        <f t="shared" si="43"/>
        <v>4</v>
      </c>
      <c r="S152" s="69">
        <f t="shared" si="39"/>
        <v>323076.60000000003</v>
      </c>
      <c r="T152" s="69">
        <v>3500000</v>
      </c>
      <c r="U152" s="69">
        <f t="shared" si="40"/>
        <v>1050000</v>
      </c>
      <c r="V152" s="69">
        <f t="shared" si="41"/>
        <v>800000</v>
      </c>
      <c r="W152" s="69">
        <v>1142400</v>
      </c>
      <c r="X152" s="69">
        <f>+$X$151*Q152/$Q$151</f>
        <v>960000</v>
      </c>
      <c r="Y152" s="95">
        <f t="shared" si="38"/>
        <v>1295.9127666666666</v>
      </c>
    </row>
    <row r="153" spans="16:25" x14ac:dyDescent="0.25">
      <c r="P153" s="15">
        <f t="shared" si="42"/>
        <v>11</v>
      </c>
      <c r="Q153" s="69">
        <v>7000</v>
      </c>
      <c r="R153" s="69">
        <f t="shared" si="43"/>
        <v>4</v>
      </c>
      <c r="S153" s="69">
        <f t="shared" si="39"/>
        <v>323076.60000000003</v>
      </c>
      <c r="T153" s="69">
        <v>3500000</v>
      </c>
      <c r="U153" s="69">
        <f t="shared" si="40"/>
        <v>1400000</v>
      </c>
      <c r="V153" s="69">
        <f t="shared" si="41"/>
        <v>800000</v>
      </c>
      <c r="W153" s="69">
        <v>1142400</v>
      </c>
      <c r="X153" s="69">
        <f t="shared" ref="X153:X173" si="44">+$X$151*Q153/$Q$151</f>
        <v>1120000</v>
      </c>
      <c r="Y153" s="95">
        <f t="shared" si="38"/>
        <v>1183.6395142857143</v>
      </c>
    </row>
    <row r="154" spans="16:25" x14ac:dyDescent="0.25">
      <c r="P154" s="15">
        <f t="shared" si="42"/>
        <v>12</v>
      </c>
      <c r="Q154" s="69">
        <v>8000</v>
      </c>
      <c r="R154" s="69">
        <f t="shared" si="43"/>
        <v>4</v>
      </c>
      <c r="S154" s="69">
        <f t="shared" si="39"/>
        <v>323076.60000000003</v>
      </c>
      <c r="T154" s="69">
        <v>3500000</v>
      </c>
      <c r="U154" s="69">
        <f t="shared" si="40"/>
        <v>1750000</v>
      </c>
      <c r="V154" s="69">
        <f t="shared" si="41"/>
        <v>800000</v>
      </c>
      <c r="W154" s="69">
        <v>1142400</v>
      </c>
      <c r="X154" s="69">
        <f t="shared" si="44"/>
        <v>1280000</v>
      </c>
      <c r="Y154" s="95">
        <f t="shared" si="38"/>
        <v>1099.434575</v>
      </c>
    </row>
    <row r="155" spans="16:25" x14ac:dyDescent="0.25">
      <c r="P155" s="15">
        <f t="shared" si="42"/>
        <v>13</v>
      </c>
      <c r="Q155" s="69">
        <v>10000</v>
      </c>
      <c r="R155" s="69">
        <f t="shared" si="43"/>
        <v>4</v>
      </c>
      <c r="S155" s="69">
        <f t="shared" si="39"/>
        <v>323076.60000000003</v>
      </c>
      <c r="T155" s="69">
        <v>3500000</v>
      </c>
      <c r="U155" s="69">
        <f t="shared" si="40"/>
        <v>2450000</v>
      </c>
      <c r="V155" s="69">
        <f t="shared" si="41"/>
        <v>800000</v>
      </c>
      <c r="W155" s="69">
        <v>1142400</v>
      </c>
      <c r="X155" s="69">
        <f t="shared" si="44"/>
        <v>1600000</v>
      </c>
      <c r="Y155" s="95">
        <f t="shared" si="38"/>
        <v>981.54765999999995</v>
      </c>
    </row>
    <row r="156" spans="16:25" x14ac:dyDescent="0.25">
      <c r="P156" s="15">
        <f t="shared" si="42"/>
        <v>14</v>
      </c>
      <c r="Q156" s="69">
        <v>15000</v>
      </c>
      <c r="R156" s="69">
        <f t="shared" si="43"/>
        <v>4</v>
      </c>
      <c r="S156" s="69">
        <f t="shared" si="39"/>
        <v>323076.60000000003</v>
      </c>
      <c r="T156" s="69">
        <v>3500000</v>
      </c>
      <c r="U156" s="69">
        <f t="shared" si="40"/>
        <v>4200000</v>
      </c>
      <c r="V156" s="69">
        <f t="shared" si="41"/>
        <v>800000</v>
      </c>
      <c r="W156" s="69">
        <v>1142400</v>
      </c>
      <c r="X156" s="69">
        <f t="shared" si="44"/>
        <v>2400000</v>
      </c>
      <c r="Y156" s="95">
        <f t="shared" si="38"/>
        <v>824.36510666666663</v>
      </c>
    </row>
    <row r="157" spans="16:25" x14ac:dyDescent="0.25">
      <c r="P157" s="15">
        <f t="shared" si="42"/>
        <v>15</v>
      </c>
      <c r="Q157" s="69">
        <v>20000</v>
      </c>
      <c r="R157" s="69">
        <f t="shared" si="43"/>
        <v>4</v>
      </c>
      <c r="S157" s="69">
        <f t="shared" si="39"/>
        <v>323076.60000000003</v>
      </c>
      <c r="T157" s="69">
        <v>3500000</v>
      </c>
      <c r="U157" s="69">
        <f t="shared" si="40"/>
        <v>5950000</v>
      </c>
      <c r="V157" s="69">
        <f t="shared" si="41"/>
        <v>800000</v>
      </c>
      <c r="W157" s="69">
        <v>1142400</v>
      </c>
      <c r="X157" s="69">
        <f t="shared" si="44"/>
        <v>3200000</v>
      </c>
      <c r="Y157" s="95">
        <f t="shared" si="38"/>
        <v>745.77382999999998</v>
      </c>
    </row>
    <row r="158" spans="16:25" x14ac:dyDescent="0.25">
      <c r="P158" s="15">
        <f t="shared" si="42"/>
        <v>16</v>
      </c>
      <c r="Q158" s="69">
        <v>25000</v>
      </c>
      <c r="R158" s="69">
        <f t="shared" si="43"/>
        <v>4</v>
      </c>
      <c r="S158" s="69">
        <f t="shared" si="39"/>
        <v>323076.60000000003</v>
      </c>
      <c r="T158" s="69">
        <v>3500000</v>
      </c>
      <c r="U158" s="69">
        <f t="shared" si="40"/>
        <v>7700000</v>
      </c>
      <c r="V158" s="69">
        <f t="shared" si="41"/>
        <v>800000</v>
      </c>
      <c r="W158" s="69">
        <v>1142400</v>
      </c>
      <c r="X158" s="69">
        <f t="shared" si="44"/>
        <v>4000000</v>
      </c>
      <c r="Y158" s="95">
        <f t="shared" si="38"/>
        <v>698.61906400000009</v>
      </c>
    </row>
    <row r="159" spans="16:25" x14ac:dyDescent="0.25">
      <c r="P159" s="15">
        <f t="shared" si="42"/>
        <v>17</v>
      </c>
      <c r="Q159" s="69">
        <v>30000</v>
      </c>
      <c r="R159" s="69">
        <f t="shared" si="43"/>
        <v>4</v>
      </c>
      <c r="S159" s="69">
        <f t="shared" si="39"/>
        <v>323076.60000000003</v>
      </c>
      <c r="T159" s="69">
        <v>3500000</v>
      </c>
      <c r="U159" s="69">
        <f t="shared" si="40"/>
        <v>9450000</v>
      </c>
      <c r="V159" s="69">
        <f t="shared" si="41"/>
        <v>800000</v>
      </c>
      <c r="W159" s="69">
        <v>1142400</v>
      </c>
      <c r="X159" s="69">
        <f t="shared" si="44"/>
        <v>4800000</v>
      </c>
      <c r="Y159" s="95">
        <f t="shared" si="38"/>
        <v>667.18255333333343</v>
      </c>
    </row>
    <row r="160" spans="16:25" x14ac:dyDescent="0.25">
      <c r="P160" s="15">
        <f t="shared" si="42"/>
        <v>18</v>
      </c>
      <c r="Q160" s="69">
        <v>35000</v>
      </c>
      <c r="R160" s="69">
        <f t="shared" si="43"/>
        <v>4</v>
      </c>
      <c r="S160" s="69">
        <f t="shared" si="39"/>
        <v>323076.60000000003</v>
      </c>
      <c r="T160" s="69">
        <v>3500000</v>
      </c>
      <c r="U160" s="69">
        <f t="shared" si="40"/>
        <v>11200000</v>
      </c>
      <c r="V160" s="69">
        <f t="shared" si="41"/>
        <v>800000</v>
      </c>
      <c r="W160" s="69">
        <v>1142400</v>
      </c>
      <c r="X160" s="69">
        <f t="shared" si="44"/>
        <v>5600000</v>
      </c>
      <c r="Y160" s="95">
        <f t="shared" si="38"/>
        <v>644.72790285714291</v>
      </c>
    </row>
    <row r="161" spans="16:25" x14ac:dyDescent="0.25">
      <c r="P161" s="15">
        <f t="shared" si="42"/>
        <v>19</v>
      </c>
      <c r="Q161" s="69">
        <v>40000</v>
      </c>
      <c r="R161" s="69">
        <f t="shared" si="43"/>
        <v>4</v>
      </c>
      <c r="S161" s="69">
        <f t="shared" si="39"/>
        <v>323076.60000000003</v>
      </c>
      <c r="T161" s="69">
        <v>3500000</v>
      </c>
      <c r="U161" s="69">
        <f t="shared" si="40"/>
        <v>12950000</v>
      </c>
      <c r="V161" s="69">
        <f t="shared" si="41"/>
        <v>800000</v>
      </c>
      <c r="W161" s="69">
        <v>1142400</v>
      </c>
      <c r="X161" s="69">
        <f t="shared" si="44"/>
        <v>6400000</v>
      </c>
      <c r="Y161" s="95">
        <f t="shared" si="38"/>
        <v>627.88691500000004</v>
      </c>
    </row>
    <row r="162" spans="16:25" x14ac:dyDescent="0.25">
      <c r="P162" s="15">
        <f t="shared" si="42"/>
        <v>20</v>
      </c>
      <c r="Q162" s="69">
        <v>45000</v>
      </c>
      <c r="R162" s="69">
        <f t="shared" si="43"/>
        <v>4</v>
      </c>
      <c r="S162" s="69">
        <f t="shared" si="39"/>
        <v>323076.60000000003</v>
      </c>
      <c r="T162" s="69">
        <v>3500000</v>
      </c>
      <c r="U162" s="69">
        <f t="shared" si="40"/>
        <v>14700000</v>
      </c>
      <c r="V162" s="69">
        <f t="shared" si="41"/>
        <v>800000</v>
      </c>
      <c r="W162" s="69">
        <v>1142400</v>
      </c>
      <c r="X162" s="69">
        <f t="shared" si="44"/>
        <v>7200000</v>
      </c>
      <c r="Y162" s="95">
        <f t="shared" si="38"/>
        <v>614.78836888888895</v>
      </c>
    </row>
    <row r="163" spans="16:25" x14ac:dyDescent="0.25">
      <c r="P163" s="15">
        <f t="shared" si="42"/>
        <v>21</v>
      </c>
      <c r="Q163" s="69">
        <v>50000</v>
      </c>
      <c r="R163" s="69">
        <f t="shared" si="43"/>
        <v>4</v>
      </c>
      <c r="S163" s="69">
        <f t="shared" si="39"/>
        <v>323076.60000000003</v>
      </c>
      <c r="T163" s="69">
        <v>3500000</v>
      </c>
      <c r="U163" s="69">
        <f t="shared" si="40"/>
        <v>16450000</v>
      </c>
      <c r="V163" s="69">
        <f t="shared" si="41"/>
        <v>800000</v>
      </c>
      <c r="W163" s="69">
        <v>1142400</v>
      </c>
      <c r="X163" s="69">
        <f t="shared" si="44"/>
        <v>8000000</v>
      </c>
      <c r="Y163" s="95">
        <f t="shared" si="38"/>
        <v>604.30953199999999</v>
      </c>
    </row>
    <row r="164" spans="16:25" x14ac:dyDescent="0.25">
      <c r="P164" s="15">
        <f t="shared" si="42"/>
        <v>22</v>
      </c>
      <c r="Q164" s="69">
        <v>55000</v>
      </c>
      <c r="R164" s="69">
        <f t="shared" si="43"/>
        <v>4</v>
      </c>
      <c r="S164" s="69">
        <f t="shared" si="39"/>
        <v>323076.60000000003</v>
      </c>
      <c r="T164" s="69">
        <v>3500000</v>
      </c>
      <c r="U164" s="69">
        <f t="shared" si="40"/>
        <v>18200000</v>
      </c>
      <c r="V164" s="69">
        <f t="shared" si="41"/>
        <v>800000</v>
      </c>
      <c r="W164" s="69">
        <v>1142400</v>
      </c>
      <c r="X164" s="69">
        <f t="shared" si="44"/>
        <v>8800000</v>
      </c>
      <c r="Y164" s="95">
        <f t="shared" si="38"/>
        <v>595.73593818181826</v>
      </c>
    </row>
    <row r="165" spans="16:25" x14ac:dyDescent="0.25">
      <c r="P165" s="15">
        <f t="shared" si="42"/>
        <v>23</v>
      </c>
      <c r="Q165" s="69">
        <v>60000</v>
      </c>
      <c r="R165" s="69">
        <f t="shared" si="43"/>
        <v>4</v>
      </c>
      <c r="S165" s="69">
        <f t="shared" si="39"/>
        <v>323076.60000000003</v>
      </c>
      <c r="T165" s="69">
        <v>3500000</v>
      </c>
      <c r="U165" s="69">
        <f t="shared" si="40"/>
        <v>19950000</v>
      </c>
      <c r="V165" s="69">
        <f t="shared" si="41"/>
        <v>800000</v>
      </c>
      <c r="W165" s="69">
        <v>1142400</v>
      </c>
      <c r="X165" s="69">
        <f t="shared" si="44"/>
        <v>9600000</v>
      </c>
      <c r="Y165" s="95">
        <f t="shared" si="38"/>
        <v>588.59127666666666</v>
      </c>
    </row>
    <row r="166" spans="16:25" x14ac:dyDescent="0.25">
      <c r="P166" s="15">
        <f t="shared" si="42"/>
        <v>24</v>
      </c>
      <c r="Q166" s="69">
        <v>65000</v>
      </c>
      <c r="R166" s="69">
        <f t="shared" si="43"/>
        <v>4</v>
      </c>
      <c r="S166" s="69">
        <f t="shared" si="39"/>
        <v>323076.60000000003</v>
      </c>
      <c r="T166" s="69">
        <v>3500000</v>
      </c>
      <c r="U166" s="69">
        <f t="shared" si="40"/>
        <v>21700000</v>
      </c>
      <c r="V166" s="69">
        <f t="shared" si="41"/>
        <v>800000</v>
      </c>
      <c r="W166" s="69">
        <v>1142400</v>
      </c>
      <c r="X166" s="69">
        <f t="shared" si="44"/>
        <v>10400000</v>
      </c>
      <c r="Y166" s="95">
        <f t="shared" si="38"/>
        <v>582.54579384615386</v>
      </c>
    </row>
    <row r="167" spans="16:25" x14ac:dyDescent="0.25">
      <c r="P167" s="15">
        <f t="shared" si="42"/>
        <v>25</v>
      </c>
      <c r="Q167" s="69">
        <v>70000</v>
      </c>
      <c r="R167" s="69">
        <f t="shared" si="43"/>
        <v>4</v>
      </c>
      <c r="S167" s="69">
        <f t="shared" si="39"/>
        <v>323076.60000000003</v>
      </c>
      <c r="T167" s="69">
        <v>3500000</v>
      </c>
      <c r="U167" s="69">
        <f t="shared" si="40"/>
        <v>23450000</v>
      </c>
      <c r="V167" s="69">
        <f t="shared" si="41"/>
        <v>800000</v>
      </c>
      <c r="W167" s="69">
        <v>1142400</v>
      </c>
      <c r="X167" s="69">
        <f t="shared" si="44"/>
        <v>11200000</v>
      </c>
      <c r="Y167" s="95">
        <f t="shared" si="38"/>
        <v>577.36395142857145</v>
      </c>
    </row>
    <row r="168" spans="16:25" x14ac:dyDescent="0.25">
      <c r="P168" s="15">
        <f t="shared" si="42"/>
        <v>26</v>
      </c>
      <c r="Q168" s="69">
        <v>75000</v>
      </c>
      <c r="R168" s="69">
        <f t="shared" si="43"/>
        <v>4</v>
      </c>
      <c r="S168" s="69">
        <f t="shared" si="39"/>
        <v>323076.60000000003</v>
      </c>
      <c r="T168" s="69">
        <v>3500000</v>
      </c>
      <c r="U168" s="69">
        <f t="shared" si="40"/>
        <v>25200000</v>
      </c>
      <c r="V168" s="69">
        <f t="shared" si="41"/>
        <v>800000</v>
      </c>
      <c r="W168" s="69">
        <v>1142400</v>
      </c>
      <c r="X168" s="69">
        <f t="shared" si="44"/>
        <v>12000000</v>
      </c>
      <c r="Y168" s="95">
        <f t="shared" si="38"/>
        <v>572.87302133333333</v>
      </c>
    </row>
    <row r="169" spans="16:25" x14ac:dyDescent="0.25">
      <c r="P169" s="15">
        <f t="shared" si="42"/>
        <v>27</v>
      </c>
      <c r="Q169" s="69">
        <v>80000</v>
      </c>
      <c r="R169" s="69">
        <f t="shared" si="43"/>
        <v>4</v>
      </c>
      <c r="S169" s="69">
        <f t="shared" si="39"/>
        <v>323076.60000000003</v>
      </c>
      <c r="T169" s="69">
        <v>3500000</v>
      </c>
      <c r="U169" s="69">
        <f t="shared" si="40"/>
        <v>26950000</v>
      </c>
      <c r="V169" s="69">
        <f t="shared" si="41"/>
        <v>800000</v>
      </c>
      <c r="W169" s="69">
        <v>1142400</v>
      </c>
      <c r="X169" s="69">
        <f t="shared" si="44"/>
        <v>12800000</v>
      </c>
      <c r="Y169" s="95">
        <f t="shared" si="38"/>
        <v>568.94345750000002</v>
      </c>
    </row>
    <row r="170" spans="16:25" x14ac:dyDescent="0.25">
      <c r="P170" s="15">
        <f t="shared" si="42"/>
        <v>28</v>
      </c>
      <c r="Q170" s="69">
        <v>85000</v>
      </c>
      <c r="R170" s="69">
        <f t="shared" si="43"/>
        <v>4</v>
      </c>
      <c r="S170" s="69">
        <f t="shared" si="39"/>
        <v>323076.60000000003</v>
      </c>
      <c r="T170" s="69">
        <v>3500000</v>
      </c>
      <c r="U170" s="69">
        <f t="shared" si="40"/>
        <v>28700000</v>
      </c>
      <c r="V170" s="69">
        <f t="shared" si="41"/>
        <v>800000</v>
      </c>
      <c r="W170" s="69">
        <v>1142400</v>
      </c>
      <c r="X170" s="69">
        <f t="shared" si="44"/>
        <v>13600000</v>
      </c>
      <c r="Y170" s="95">
        <f t="shared" si="38"/>
        <v>565.4761952941177</v>
      </c>
    </row>
    <row r="171" spans="16:25" x14ac:dyDescent="0.25">
      <c r="P171" s="15">
        <f t="shared" si="42"/>
        <v>29</v>
      </c>
      <c r="Q171" s="69">
        <v>90000</v>
      </c>
      <c r="R171" s="69">
        <f t="shared" si="43"/>
        <v>4</v>
      </c>
      <c r="S171" s="69">
        <f t="shared" si="39"/>
        <v>323076.60000000003</v>
      </c>
      <c r="T171" s="69">
        <v>3500000</v>
      </c>
      <c r="U171" s="69">
        <f t="shared" si="40"/>
        <v>30450000</v>
      </c>
      <c r="V171" s="69">
        <f t="shared" si="41"/>
        <v>800000</v>
      </c>
      <c r="W171" s="69">
        <v>1142400</v>
      </c>
      <c r="X171" s="69">
        <f t="shared" si="44"/>
        <v>14400000</v>
      </c>
      <c r="Y171" s="95">
        <f t="shared" si="38"/>
        <v>562.39418444444448</v>
      </c>
    </row>
    <row r="172" spans="16:25" x14ac:dyDescent="0.25">
      <c r="P172" s="15">
        <f t="shared" si="42"/>
        <v>30</v>
      </c>
      <c r="Q172" s="69">
        <v>95000</v>
      </c>
      <c r="R172" s="69">
        <f t="shared" si="43"/>
        <v>4</v>
      </c>
      <c r="S172" s="69">
        <f t="shared" si="39"/>
        <v>323076.60000000003</v>
      </c>
      <c r="T172" s="69">
        <v>3500000</v>
      </c>
      <c r="U172" s="69">
        <f t="shared" si="40"/>
        <v>32200000</v>
      </c>
      <c r="V172" s="69">
        <f t="shared" si="41"/>
        <v>800000</v>
      </c>
      <c r="W172" s="69">
        <v>1142400</v>
      </c>
      <c r="X172" s="69">
        <f t="shared" si="44"/>
        <v>15200000</v>
      </c>
      <c r="Y172" s="95">
        <f t="shared" si="38"/>
        <v>559.63659578947374</v>
      </c>
    </row>
    <row r="173" spans="16:25" ht="15.75" thickBot="1" x14ac:dyDescent="0.3">
      <c r="P173" s="16">
        <f t="shared" si="42"/>
        <v>31</v>
      </c>
      <c r="Q173" s="72">
        <v>100000</v>
      </c>
      <c r="R173" s="72">
        <f t="shared" si="43"/>
        <v>4</v>
      </c>
      <c r="S173" s="72">
        <f t="shared" si="39"/>
        <v>323076.60000000003</v>
      </c>
      <c r="T173" s="72">
        <v>3500000</v>
      </c>
      <c r="U173" s="72">
        <f t="shared" si="40"/>
        <v>33950000</v>
      </c>
      <c r="V173" s="72">
        <f t="shared" si="41"/>
        <v>800000</v>
      </c>
      <c r="W173" s="72">
        <v>1142400</v>
      </c>
      <c r="X173" s="72">
        <f t="shared" si="44"/>
        <v>16000000</v>
      </c>
      <c r="Y173" s="96">
        <f t="shared" si="38"/>
        <v>557.154766</v>
      </c>
    </row>
    <row r="174" spans="16:25" ht="15.75" thickTop="1" x14ac:dyDescent="0.25"/>
  </sheetData>
  <sortState xmlns:xlrd2="http://schemas.microsoft.com/office/spreadsheetml/2017/richdata2" ref="P3:W16">
    <sortCondition ref="Q3"/>
  </sortState>
  <mergeCells count="53">
    <mergeCell ref="P106:W106"/>
    <mergeCell ref="P141:W141"/>
    <mergeCell ref="A42:K42"/>
    <mergeCell ref="P71:W71"/>
    <mergeCell ref="D20:E20"/>
    <mergeCell ref="A25:E25"/>
    <mergeCell ref="F25:H25"/>
    <mergeCell ref="A43:K43"/>
    <mergeCell ref="A44:K44"/>
    <mergeCell ref="A45:K45"/>
    <mergeCell ref="A31:E31"/>
    <mergeCell ref="F31:H31"/>
    <mergeCell ref="A21:H21"/>
    <mergeCell ref="A36:K36"/>
    <mergeCell ref="A38:K38"/>
    <mergeCell ref="A39:K39"/>
    <mergeCell ref="B1:L1"/>
    <mergeCell ref="F7:G7"/>
    <mergeCell ref="D10:E10"/>
    <mergeCell ref="F10:H10"/>
    <mergeCell ref="D11:E11"/>
    <mergeCell ref="D12:E12"/>
    <mergeCell ref="D14:E14"/>
    <mergeCell ref="D15:E15"/>
    <mergeCell ref="D16:E16"/>
    <mergeCell ref="D17:E17"/>
    <mergeCell ref="D13:E13"/>
    <mergeCell ref="D18:E18"/>
    <mergeCell ref="F32:H32"/>
    <mergeCell ref="A40:K40"/>
    <mergeCell ref="A41:K41"/>
    <mergeCell ref="A37:K37"/>
    <mergeCell ref="F23:H23"/>
    <mergeCell ref="A24:E24"/>
    <mergeCell ref="F24:H24"/>
    <mergeCell ref="A35:K35"/>
    <mergeCell ref="A26:E26"/>
    <mergeCell ref="F26:H26"/>
    <mergeCell ref="A27:E27"/>
    <mergeCell ref="F27:H27"/>
    <mergeCell ref="A28:E28"/>
    <mergeCell ref="F28:H28"/>
    <mergeCell ref="D19:E19"/>
    <mergeCell ref="A23:E23"/>
    <mergeCell ref="A33:E33"/>
    <mergeCell ref="F33:H33"/>
    <mergeCell ref="A34:E34"/>
    <mergeCell ref="F34:H34"/>
    <mergeCell ref="A29:E29"/>
    <mergeCell ref="F29:H29"/>
    <mergeCell ref="A30:E30"/>
    <mergeCell ref="F30:H30"/>
    <mergeCell ref="A32:E32"/>
  </mergeCells>
  <pageMargins left="7.2916666666666671E-2" right="5.2083333333333336E-2" top="7.2916666666666671E-2" bottom="7.2916666666666671E-2" header="0.3" footer="0.3"/>
  <pageSetup paperSize="9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0:K56"/>
  <sheetViews>
    <sheetView view="pageLayout" topLeftCell="A25" zoomScale="115" zoomScaleNormal="100" zoomScalePageLayoutView="115" workbookViewId="0">
      <selection activeCell="J43" sqref="J43"/>
    </sheetView>
  </sheetViews>
  <sheetFormatPr defaultRowHeight="15" x14ac:dyDescent="0.25"/>
  <cols>
    <col min="1" max="1" width="8.7109375" customWidth="1"/>
    <col min="2" max="2" width="14.28515625" customWidth="1"/>
    <col min="3" max="3" width="2.28515625" customWidth="1"/>
    <col min="4" max="4" width="6.5703125" customWidth="1"/>
    <col min="5" max="8" width="4.85546875" customWidth="1"/>
    <col min="9" max="9" width="21.140625" customWidth="1"/>
    <col min="10" max="10" width="13.42578125" customWidth="1"/>
    <col min="11" max="11" width="16" customWidth="1"/>
  </cols>
  <sheetData>
    <row r="10" spans="1:11" ht="21" x14ac:dyDescent="0.25">
      <c r="A10" s="180" t="s">
        <v>54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</row>
    <row r="12" spans="1:11" x14ac:dyDescent="0.25">
      <c r="B12" s="42" t="s">
        <v>31</v>
      </c>
      <c r="C12" s="42" t="s">
        <v>2</v>
      </c>
      <c r="D12" s="42" t="s">
        <v>209</v>
      </c>
    </row>
    <row r="13" spans="1:11" x14ac:dyDescent="0.25">
      <c r="B13" s="42" t="s">
        <v>55</v>
      </c>
      <c r="C13" s="42" t="s">
        <v>2</v>
      </c>
      <c r="D13" s="42" t="str">
        <f>+BBOM!F2</f>
        <v>PT. Cavron Indonesia</v>
      </c>
    </row>
    <row r="14" spans="1:11" x14ac:dyDescent="0.25">
      <c r="B14" s="47"/>
      <c r="C14" s="42"/>
      <c r="D14" s="47" t="str">
        <f>+BBOM!F3</f>
        <v>Mr. Soreang</v>
      </c>
    </row>
    <row r="16" spans="1:11" x14ac:dyDescent="0.25">
      <c r="B16" s="42" t="s">
        <v>56</v>
      </c>
    </row>
    <row r="17" spans="2:11" x14ac:dyDescent="0.25">
      <c r="B17" s="42" t="s">
        <v>57</v>
      </c>
    </row>
    <row r="18" spans="2:11" ht="15.75" thickBot="1" x14ac:dyDescent="0.3"/>
    <row r="19" spans="2:11" ht="16.5" thickTop="1" thickBot="1" x14ac:dyDescent="0.3">
      <c r="B19" s="181" t="s">
        <v>58</v>
      </c>
      <c r="C19" s="182"/>
      <c r="D19" s="182"/>
      <c r="E19" s="182"/>
      <c r="F19" s="182"/>
      <c r="G19" s="182"/>
      <c r="H19" s="182"/>
      <c r="I19" s="182"/>
      <c r="J19" s="182" t="s">
        <v>33</v>
      </c>
      <c r="K19" s="183"/>
    </row>
    <row r="20" spans="2:11" ht="15.75" thickTop="1" x14ac:dyDescent="0.25">
      <c r="B20" s="49" t="str">
        <f>+BBOM!F4</f>
        <v>Nature 5Kg</v>
      </c>
      <c r="C20" s="43"/>
      <c r="D20" s="43"/>
      <c r="E20" s="43"/>
      <c r="F20" s="43"/>
      <c r="G20" s="43"/>
      <c r="H20" s="43"/>
      <c r="I20" s="43"/>
      <c r="J20" s="52"/>
      <c r="K20" s="53"/>
    </row>
    <row r="21" spans="2:11" x14ac:dyDescent="0.25">
      <c r="B21" s="50" t="s">
        <v>75</v>
      </c>
      <c r="C21" t="s">
        <v>2</v>
      </c>
      <c r="D21" s="18">
        <f>+BBOM!F6</f>
        <v>650</v>
      </c>
      <c r="E21" s="18" t="s">
        <v>76</v>
      </c>
      <c r="F21" s="18">
        <f>+BBOM!G6</f>
        <v>380</v>
      </c>
      <c r="G21" s="18" t="s">
        <v>76</v>
      </c>
      <c r="H21" s="18">
        <f>+BBOM!H6</f>
        <v>100</v>
      </c>
      <c r="I21" t="s">
        <v>77</v>
      </c>
      <c r="J21" s="54"/>
      <c r="K21" s="55"/>
    </row>
    <row r="22" spans="2:11" x14ac:dyDescent="0.25">
      <c r="B22" s="44" t="s">
        <v>14</v>
      </c>
      <c r="C22" s="43" t="s">
        <v>2</v>
      </c>
      <c r="D22" s="43"/>
      <c r="E22" s="43"/>
      <c r="F22" s="43"/>
      <c r="G22" s="43"/>
      <c r="H22" s="43"/>
      <c r="I22" s="43"/>
      <c r="J22" s="54"/>
      <c r="K22" s="55"/>
    </row>
    <row r="23" spans="2:11" x14ac:dyDescent="0.25">
      <c r="B23" s="44" t="s">
        <v>69</v>
      </c>
      <c r="C23" s="43" t="s">
        <v>2</v>
      </c>
      <c r="D23" s="60" t="str">
        <f>+VLOOKUP(BBOM!C11,BBOM!$P$3:$W$69,3,FALSE)</f>
        <v>White Sack Kraft HP</v>
      </c>
      <c r="E23" s="43"/>
      <c r="F23" s="43"/>
      <c r="G23" s="43"/>
      <c r="H23" s="43">
        <f>+VLOOKUP(BBOM!C11,BBOM!$P$3:$W$69,4,FALSE)</f>
        <v>70</v>
      </c>
      <c r="I23" s="43" t="s">
        <v>70</v>
      </c>
      <c r="J23" s="54"/>
      <c r="K23" s="55"/>
    </row>
    <row r="24" spans="2:11" x14ac:dyDescent="0.25">
      <c r="B24" s="44" t="s">
        <v>71</v>
      </c>
      <c r="C24" s="43" t="s">
        <v>2</v>
      </c>
      <c r="D24" s="60" t="str">
        <f>+VLOOKUP(BBOM!C12,BBOM!$P$3:$W$69,3,FALSE)</f>
        <v>Brown Kraft</v>
      </c>
      <c r="E24" s="43"/>
      <c r="F24" s="43"/>
      <c r="G24" s="43"/>
      <c r="H24" s="43">
        <f>+VLOOKUP(BBOM!C12,BBOM!$P$3:$W$69,4,FALSE)</f>
        <v>72</v>
      </c>
      <c r="I24" s="43" t="s">
        <v>70</v>
      </c>
      <c r="J24" s="54"/>
      <c r="K24" s="55"/>
    </row>
    <row r="25" spans="2:11" x14ac:dyDescent="0.25">
      <c r="B25" s="44" t="s">
        <v>73</v>
      </c>
      <c r="C25" s="43" t="s">
        <v>2</v>
      </c>
      <c r="D25" s="60" t="str">
        <f>+VLOOKUP(BBOM!C13,BBOM!$P$3:$W$69,3,FALSE)</f>
        <v>Brown Kraft</v>
      </c>
      <c r="E25" s="43"/>
      <c r="F25" s="43"/>
      <c r="G25" s="43"/>
      <c r="H25" s="43">
        <f>+VLOOKUP(BBOM!C13,BBOM!$P$3:$W$69,4,FALSE)</f>
        <v>72</v>
      </c>
      <c r="I25" s="43" t="s">
        <v>70</v>
      </c>
      <c r="J25" s="58">
        <f>+BBOM!L43</f>
        <v>5500</v>
      </c>
      <c r="K25" s="59" t="s">
        <v>82</v>
      </c>
    </row>
    <row r="26" spans="2:11" x14ac:dyDescent="0.25">
      <c r="B26" s="44" t="s">
        <v>74</v>
      </c>
      <c r="C26" s="43" t="s">
        <v>2</v>
      </c>
      <c r="D26" s="60" t="str">
        <f>+VLOOKUP(BBOM!C14,BBOM!$P$3:$W$69,3,FALSE)</f>
        <v>Brown Kraft</v>
      </c>
      <c r="E26" s="43"/>
      <c r="F26" s="43"/>
      <c r="G26" s="43"/>
      <c r="H26" s="43">
        <f>+VLOOKUP(BBOM!C14,BBOM!$P$3:$W$69,4,FALSE)</f>
        <v>72</v>
      </c>
      <c r="I26" s="43" t="s">
        <v>70</v>
      </c>
      <c r="J26" s="58"/>
      <c r="K26" s="59"/>
    </row>
    <row r="27" spans="2:11" x14ac:dyDescent="0.25">
      <c r="B27" s="44" t="s">
        <v>168</v>
      </c>
      <c r="C27" s="43" t="s">
        <v>2</v>
      </c>
      <c r="D27" s="60" t="str">
        <f>+VLOOKUP(BBOM!C15,BBOM!$P$3:$W$69,3,FALSE)</f>
        <v>Plastik HDPE</v>
      </c>
      <c r="E27" s="43"/>
      <c r="F27" s="43"/>
      <c r="G27" s="43"/>
      <c r="H27" s="43">
        <f>+VLOOKUP(BBOM!C15,BBOM!$P$3:$W$69,4,FALSE)</f>
        <v>30</v>
      </c>
      <c r="I27" s="43" t="s">
        <v>72</v>
      </c>
      <c r="J27" s="54"/>
      <c r="K27" s="55"/>
    </row>
    <row r="28" spans="2:11" x14ac:dyDescent="0.25">
      <c r="B28" s="44"/>
      <c r="C28" s="43"/>
      <c r="D28" s="102">
        <f>IF($D$27&gt;0,BBOM!H15,0)</f>
        <v>780</v>
      </c>
      <c r="E28" s="51" t="s">
        <v>76</v>
      </c>
      <c r="F28" s="64">
        <f>IF($D$27&gt;0,BBOM!G6,0)</f>
        <v>380</v>
      </c>
      <c r="G28" s="51" t="s">
        <v>76</v>
      </c>
      <c r="H28" s="64">
        <f>IF($D$27&gt;0,BBOM!H6,0)</f>
        <v>100</v>
      </c>
      <c r="I28" s="43" t="s">
        <v>77</v>
      </c>
      <c r="J28" s="54"/>
      <c r="K28" s="55"/>
    </row>
    <row r="29" spans="2:11" x14ac:dyDescent="0.25">
      <c r="B29" s="44" t="s">
        <v>78</v>
      </c>
      <c r="C29" s="43" t="s">
        <v>2</v>
      </c>
      <c r="D29" s="60">
        <f>+BBOM!F9</f>
        <v>4</v>
      </c>
      <c r="E29" s="43" t="s">
        <v>29</v>
      </c>
      <c r="F29" s="43"/>
      <c r="G29" s="43"/>
      <c r="H29" s="43"/>
      <c r="I29" s="43"/>
      <c r="J29" s="54"/>
      <c r="K29" s="55"/>
    </row>
    <row r="30" spans="2:11" x14ac:dyDescent="0.25">
      <c r="B30" s="44" t="s">
        <v>79</v>
      </c>
      <c r="C30" s="43" t="s">
        <v>2</v>
      </c>
      <c r="D30" s="43" t="str">
        <f>+BBOM!F5</f>
        <v>BBOM</v>
      </c>
      <c r="E30" s="43"/>
      <c r="F30" s="43"/>
      <c r="G30" s="43"/>
      <c r="H30" s="43"/>
      <c r="I30" s="43"/>
      <c r="J30" s="54"/>
      <c r="K30" s="55"/>
    </row>
    <row r="31" spans="2:11" x14ac:dyDescent="0.25">
      <c r="B31" s="44" t="s">
        <v>80</v>
      </c>
      <c r="C31" s="43" t="s">
        <v>2</v>
      </c>
      <c r="D31" s="184">
        <f>+BBOM!F8</f>
        <v>20000</v>
      </c>
      <c r="E31" s="184"/>
      <c r="F31" s="43" t="s">
        <v>81</v>
      </c>
      <c r="G31" s="43"/>
      <c r="H31" s="43"/>
      <c r="I31" s="43"/>
      <c r="J31" s="54"/>
      <c r="K31" s="55"/>
    </row>
    <row r="32" spans="2:11" ht="15.75" thickBot="1" x14ac:dyDescent="0.3">
      <c r="B32" s="45"/>
      <c r="C32" s="46"/>
      <c r="D32" s="46"/>
      <c r="E32" s="46"/>
      <c r="F32" s="46"/>
      <c r="G32" s="46"/>
      <c r="H32" s="46"/>
      <c r="I32" s="46"/>
      <c r="J32" s="56"/>
      <c r="K32" s="57"/>
    </row>
    <row r="33" spans="2:11" ht="15.75" thickTop="1" x14ac:dyDescent="0.25"/>
    <row r="34" spans="2:11" x14ac:dyDescent="0.25">
      <c r="B34" s="42" t="s">
        <v>59</v>
      </c>
      <c r="C34" s="42"/>
      <c r="D34" s="42"/>
    </row>
    <row r="35" spans="2:11" x14ac:dyDescent="0.25">
      <c r="B35" s="42" t="s">
        <v>60</v>
      </c>
      <c r="C35" s="42"/>
      <c r="D35" s="42"/>
    </row>
    <row r="36" spans="2:11" x14ac:dyDescent="0.25">
      <c r="B36" s="42" t="s">
        <v>61</v>
      </c>
      <c r="C36" s="42"/>
      <c r="D36" s="42"/>
    </row>
    <row r="37" spans="2:11" x14ac:dyDescent="0.25">
      <c r="B37" s="42" t="s">
        <v>62</v>
      </c>
      <c r="C37" s="42"/>
      <c r="D37" s="42"/>
    </row>
    <row r="38" spans="2:11" x14ac:dyDescent="0.25">
      <c r="B38" s="42" t="s">
        <v>63</v>
      </c>
      <c r="C38" s="42"/>
      <c r="D38" s="42"/>
    </row>
    <row r="39" spans="2:11" x14ac:dyDescent="0.25">
      <c r="B39" s="42" t="s">
        <v>194</v>
      </c>
      <c r="C39" s="42"/>
      <c r="D39" s="42"/>
    </row>
    <row r="40" spans="2:11" x14ac:dyDescent="0.25">
      <c r="B40" s="42" t="s">
        <v>195</v>
      </c>
      <c r="C40" s="42"/>
      <c r="D40" s="42"/>
    </row>
    <row r="41" spans="2:11" x14ac:dyDescent="0.25">
      <c r="B41" s="42" t="s">
        <v>196</v>
      </c>
      <c r="C41" s="42"/>
      <c r="D41" s="42"/>
    </row>
    <row r="42" spans="2:11" x14ac:dyDescent="0.25">
      <c r="B42" s="42"/>
      <c r="C42" s="42"/>
      <c r="D42" s="42"/>
    </row>
    <row r="43" spans="2:11" x14ac:dyDescent="0.25">
      <c r="B43" t="s">
        <v>64</v>
      </c>
    </row>
    <row r="44" spans="2:11" x14ac:dyDescent="0.25">
      <c r="B44" s="42" t="s">
        <v>65</v>
      </c>
    </row>
    <row r="45" spans="2:11" x14ac:dyDescent="0.25">
      <c r="B45" s="48" t="s">
        <v>66</v>
      </c>
    </row>
    <row r="47" spans="2:11" x14ac:dyDescent="0.25">
      <c r="B47" s="47"/>
      <c r="J47" s="47" t="s">
        <v>83</v>
      </c>
      <c r="K47" s="89">
        <f>+BBOM!F7</f>
        <v>45167</v>
      </c>
    </row>
    <row r="48" spans="2:11" x14ac:dyDescent="0.25">
      <c r="B48" s="47"/>
      <c r="J48" s="47" t="s">
        <v>67</v>
      </c>
    </row>
    <row r="49" spans="2:10" x14ac:dyDescent="0.25">
      <c r="B49" s="42"/>
      <c r="J49" s="42" t="s">
        <v>234</v>
      </c>
    </row>
    <row r="56" spans="2:10" x14ac:dyDescent="0.25">
      <c r="B56" s="42"/>
      <c r="J56" s="42" t="s">
        <v>68</v>
      </c>
    </row>
  </sheetData>
  <mergeCells count="4">
    <mergeCell ref="A10:K10"/>
    <mergeCell ref="B19:I19"/>
    <mergeCell ref="J19:K19"/>
    <mergeCell ref="D31:E31"/>
  </mergeCells>
  <phoneticPr fontId="13" type="noConversion"/>
  <pageMargins left="5.2083333333333336E-2" right="6.25E-2" top="7.2916666666666671E-2" bottom="6.25E-2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265D-D8FA-476B-BCFC-77E2E6B33CF7}">
  <dimension ref="A1:Q23"/>
  <sheetViews>
    <sheetView topLeftCell="H1" zoomScale="130" zoomScaleNormal="130" workbookViewId="0">
      <selection activeCell="Q3" sqref="Q3"/>
    </sheetView>
  </sheetViews>
  <sheetFormatPr defaultRowHeight="15" x14ac:dyDescent="0.25"/>
  <cols>
    <col min="1" max="1" width="3.140625" customWidth="1"/>
    <col min="2" max="2" width="26.5703125" bestFit="1" customWidth="1"/>
    <col min="3" max="3" width="14.28515625" customWidth="1"/>
    <col min="4" max="4" width="19.140625" bestFit="1" customWidth="1"/>
    <col min="5" max="5" width="18.7109375" bestFit="1" customWidth="1"/>
    <col min="6" max="12" width="13.28515625" customWidth="1"/>
    <col min="13" max="13" width="13.28515625" bestFit="1" customWidth="1"/>
    <col min="14" max="14" width="15.140625" bestFit="1" customWidth="1"/>
    <col min="15" max="15" width="13.28515625" bestFit="1" customWidth="1"/>
    <col min="16" max="16" width="20" customWidth="1"/>
  </cols>
  <sheetData>
    <row r="1" spans="1:17" ht="16.5" thickTop="1" thickBot="1" x14ac:dyDescent="0.3">
      <c r="A1" s="129" t="s">
        <v>31</v>
      </c>
      <c r="B1" s="130" t="s">
        <v>154</v>
      </c>
      <c r="C1" s="131">
        <v>44927</v>
      </c>
      <c r="D1" s="131">
        <v>44958</v>
      </c>
      <c r="E1" s="131">
        <v>44986</v>
      </c>
      <c r="F1" s="131">
        <v>45017</v>
      </c>
      <c r="G1" s="131">
        <v>45047</v>
      </c>
      <c r="H1" s="131">
        <v>45078</v>
      </c>
      <c r="I1" s="131">
        <v>45108</v>
      </c>
      <c r="J1" s="131">
        <v>45139</v>
      </c>
      <c r="K1" s="131">
        <v>45170</v>
      </c>
      <c r="L1" s="131">
        <v>45200</v>
      </c>
      <c r="M1" s="131">
        <v>45231</v>
      </c>
      <c r="N1" s="131">
        <v>45261</v>
      </c>
      <c r="O1" s="131">
        <v>45292</v>
      </c>
      <c r="P1" s="130" t="s">
        <v>218</v>
      </c>
      <c r="Q1" s="137" t="s">
        <v>219</v>
      </c>
    </row>
    <row r="2" spans="1:17" ht="15.75" thickTop="1" x14ac:dyDescent="0.25">
      <c r="A2" s="132">
        <v>1</v>
      </c>
      <c r="B2" s="133" t="s">
        <v>213</v>
      </c>
      <c r="C2" s="134">
        <v>239591604</v>
      </c>
      <c r="D2" s="134">
        <v>237707068</v>
      </c>
      <c r="E2" s="134">
        <v>228557974</v>
      </c>
      <c r="F2" s="134">
        <v>216694747</v>
      </c>
      <c r="G2" s="134">
        <v>239954316</v>
      </c>
      <c r="H2" s="134">
        <v>269044656</v>
      </c>
      <c r="I2" s="134">
        <v>265058521</v>
      </c>
      <c r="J2" s="134">
        <v>256964169</v>
      </c>
      <c r="K2" s="134">
        <v>275722676</v>
      </c>
      <c r="L2" s="134">
        <v>255633333</v>
      </c>
      <c r="M2" s="134">
        <v>241099927</v>
      </c>
      <c r="N2" s="134">
        <v>260284109</v>
      </c>
      <c r="O2" s="134">
        <v>259799810</v>
      </c>
      <c r="P2" s="134">
        <f>+AVERAGE(C2:O2)</f>
        <v>249700993.07692307</v>
      </c>
      <c r="Q2" s="140">
        <f>P2/$P$10</f>
        <v>529.35328357215917</v>
      </c>
    </row>
    <row r="3" spans="1:17" x14ac:dyDescent="0.25">
      <c r="A3" s="15">
        <v>4</v>
      </c>
      <c r="B3" s="2" t="s">
        <v>173</v>
      </c>
      <c r="C3" s="69">
        <v>14198986</v>
      </c>
      <c r="D3" s="69">
        <v>14791235</v>
      </c>
      <c r="E3" s="69">
        <v>14511639</v>
      </c>
      <c r="F3" s="69">
        <v>15976110</v>
      </c>
      <c r="G3" s="69">
        <v>14353784</v>
      </c>
      <c r="H3" s="69">
        <v>19550813</v>
      </c>
      <c r="I3" s="69">
        <v>13788579</v>
      </c>
      <c r="J3" s="69">
        <v>13003106</v>
      </c>
      <c r="K3" s="69">
        <v>17057088</v>
      </c>
      <c r="L3" s="69">
        <v>18798498</v>
      </c>
      <c r="M3" s="69">
        <v>15686125</v>
      </c>
      <c r="N3" s="69">
        <v>19277886</v>
      </c>
      <c r="O3" s="69">
        <v>19578172</v>
      </c>
      <c r="P3" s="69">
        <f>+AVERAGE(C3:O3)</f>
        <v>16197847.76923077</v>
      </c>
      <c r="Q3" s="138">
        <f t="shared" ref="Q3:Q9" si="0">P3/$P$10</f>
        <v>34.338605536914507</v>
      </c>
    </row>
    <row r="4" spans="1:17" x14ac:dyDescent="0.25">
      <c r="A4" s="15">
        <v>5</v>
      </c>
      <c r="B4" s="2" t="s">
        <v>150</v>
      </c>
      <c r="C4" s="69">
        <v>36042441</v>
      </c>
      <c r="D4" s="69">
        <v>25610220</v>
      </c>
      <c r="E4" s="69">
        <v>27379872</v>
      </c>
      <c r="F4" s="69">
        <v>86408500</v>
      </c>
      <c r="G4" s="69">
        <v>67686220</v>
      </c>
      <c r="H4" s="69">
        <v>56361734</v>
      </c>
      <c r="I4" s="69">
        <v>95059864</v>
      </c>
      <c r="J4" s="69">
        <v>37210974</v>
      </c>
      <c r="K4" s="69">
        <v>55305600</v>
      </c>
      <c r="L4" s="69">
        <v>68542820</v>
      </c>
      <c r="M4" s="69">
        <v>90361100</v>
      </c>
      <c r="N4" s="69">
        <v>28158820</v>
      </c>
      <c r="O4" s="69">
        <v>48377600</v>
      </c>
      <c r="P4" s="69">
        <f t="shared" ref="P4:P10" si="1">+AVERAGE(C4:O4)</f>
        <v>55577366.538461536</v>
      </c>
      <c r="Q4" s="138">
        <f t="shared" si="0"/>
        <v>117.82116325170118</v>
      </c>
    </row>
    <row r="5" spans="1:17" x14ac:dyDescent="0.25">
      <c r="A5" s="142">
        <v>6</v>
      </c>
      <c r="B5" s="143" t="s">
        <v>214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>
        <f>+G23</f>
        <v>37090358.993551992</v>
      </c>
      <c r="Q5" s="141">
        <f t="shared" si="0"/>
        <v>78.629656535080244</v>
      </c>
    </row>
    <row r="6" spans="1:17" x14ac:dyDescent="0.25">
      <c r="A6" s="15">
        <v>7</v>
      </c>
      <c r="B6" s="2" t="s">
        <v>215</v>
      </c>
      <c r="C6" s="69">
        <v>158532500</v>
      </c>
      <c r="D6" s="69">
        <v>109574278</v>
      </c>
      <c r="E6" s="69">
        <v>69527000</v>
      </c>
      <c r="F6" s="69">
        <v>112757000</v>
      </c>
      <c r="G6" s="69">
        <v>112057000</v>
      </c>
      <c r="H6" s="69">
        <v>110696350</v>
      </c>
      <c r="I6" s="69">
        <v>46515211</v>
      </c>
      <c r="J6" s="69">
        <v>44959011</v>
      </c>
      <c r="K6" s="69">
        <v>24584514</v>
      </c>
      <c r="L6" s="69">
        <v>24120513</v>
      </c>
      <c r="M6" s="69">
        <v>31343212</v>
      </c>
      <c r="N6" s="69">
        <v>30811187</v>
      </c>
      <c r="O6" s="69">
        <v>30270294</v>
      </c>
      <c r="P6" s="69">
        <f t="shared" si="1"/>
        <v>69672928.461538464</v>
      </c>
      <c r="Q6" s="138">
        <f t="shared" si="0"/>
        <v>147.7030307438215</v>
      </c>
    </row>
    <row r="7" spans="1:17" x14ac:dyDescent="0.25">
      <c r="A7" s="15">
        <v>8</v>
      </c>
      <c r="B7" s="2" t="s">
        <v>208</v>
      </c>
      <c r="C7" s="69">
        <v>45589329</v>
      </c>
      <c r="D7" s="69">
        <v>49089329</v>
      </c>
      <c r="E7" s="69">
        <v>52589329</v>
      </c>
      <c r="F7" s="69">
        <v>56089329</v>
      </c>
      <c r="G7" s="69">
        <v>56439329</v>
      </c>
      <c r="H7" s="69">
        <v>56789329</v>
      </c>
      <c r="I7" s="69">
        <v>57139329</v>
      </c>
      <c r="J7" s="69">
        <v>57489329</v>
      </c>
      <c r="K7" s="69">
        <v>57839329</v>
      </c>
      <c r="L7" s="136">
        <v>57839329</v>
      </c>
      <c r="M7" s="69">
        <v>58023641</v>
      </c>
      <c r="N7" s="69">
        <v>59003891</v>
      </c>
      <c r="O7" s="69">
        <v>59342088</v>
      </c>
      <c r="P7" s="69">
        <f t="shared" si="1"/>
        <v>55635608.461538464</v>
      </c>
      <c r="Q7" s="138">
        <f t="shared" si="0"/>
        <v>117.94463313799366</v>
      </c>
    </row>
    <row r="8" spans="1:17" x14ac:dyDescent="0.25">
      <c r="A8" s="15">
        <v>10</v>
      </c>
      <c r="B8" s="2" t="s">
        <v>216</v>
      </c>
      <c r="C8" s="69">
        <v>58848500</v>
      </c>
      <c r="D8" s="69">
        <v>59461088</v>
      </c>
      <c r="E8" s="69">
        <v>68998400</v>
      </c>
      <c r="F8" s="69">
        <v>48549400</v>
      </c>
      <c r="G8" s="69">
        <v>43019700</v>
      </c>
      <c r="H8" s="69">
        <v>56267252</v>
      </c>
      <c r="I8" s="69">
        <v>37733000</v>
      </c>
      <c r="J8" s="69">
        <v>46765305</v>
      </c>
      <c r="K8" s="69">
        <v>54531964</v>
      </c>
      <c r="L8" s="69">
        <v>62930900</v>
      </c>
      <c r="M8" s="69">
        <v>62330778</v>
      </c>
      <c r="N8" s="69">
        <v>57532136</v>
      </c>
      <c r="O8" s="69">
        <v>77158320</v>
      </c>
      <c r="P8" s="69">
        <f t="shared" si="1"/>
        <v>56471287.92307692</v>
      </c>
      <c r="Q8" s="138">
        <f t="shared" si="0"/>
        <v>119.71623068563706</v>
      </c>
    </row>
    <row r="9" spans="1:17" x14ac:dyDescent="0.25">
      <c r="A9" s="142">
        <v>11</v>
      </c>
      <c r="B9" s="143" t="s">
        <v>175</v>
      </c>
      <c r="C9" s="144">
        <v>30555460</v>
      </c>
      <c r="D9" s="144">
        <v>10881000</v>
      </c>
      <c r="E9" s="144">
        <v>71793185</v>
      </c>
      <c r="F9" s="144">
        <v>39296335</v>
      </c>
      <c r="G9" s="144">
        <v>43819450</v>
      </c>
      <c r="H9" s="144">
        <v>21010537</v>
      </c>
      <c r="I9" s="144">
        <v>20532720</v>
      </c>
      <c r="J9" s="144">
        <v>38451450</v>
      </c>
      <c r="K9" s="144">
        <v>56500871.520000011</v>
      </c>
      <c r="L9" s="144">
        <v>43193951.75</v>
      </c>
      <c r="M9" s="144">
        <v>73094246</v>
      </c>
      <c r="N9" s="144">
        <v>124779814.51999998</v>
      </c>
      <c r="O9" s="144">
        <v>90083422</v>
      </c>
      <c r="P9" s="144">
        <f t="shared" si="1"/>
        <v>51076341.753076918</v>
      </c>
      <c r="Q9" s="141">
        <f t="shared" si="0"/>
        <v>108.279221827187</v>
      </c>
    </row>
    <row r="10" spans="1:17" ht="15.75" thickBot="1" x14ac:dyDescent="0.3">
      <c r="A10" s="16">
        <v>12</v>
      </c>
      <c r="B10" s="135" t="s">
        <v>217</v>
      </c>
      <c r="C10" s="72">
        <v>494789</v>
      </c>
      <c r="D10" s="72">
        <v>426115</v>
      </c>
      <c r="E10" s="72">
        <v>478439</v>
      </c>
      <c r="F10" s="72">
        <v>399627</v>
      </c>
      <c r="G10" s="72">
        <v>482302</v>
      </c>
      <c r="H10" s="72">
        <v>401128</v>
      </c>
      <c r="I10" s="72">
        <v>318243</v>
      </c>
      <c r="J10" s="72">
        <v>457559</v>
      </c>
      <c r="K10" s="72">
        <v>427393</v>
      </c>
      <c r="L10" s="72">
        <v>511218</v>
      </c>
      <c r="M10" s="72">
        <v>548537</v>
      </c>
      <c r="N10" s="72">
        <v>580548</v>
      </c>
      <c r="O10" s="72">
        <v>606326</v>
      </c>
      <c r="P10" s="72">
        <f t="shared" si="1"/>
        <v>471709.53846153844</v>
      </c>
      <c r="Q10" s="139"/>
    </row>
    <row r="11" spans="1:17" ht="15.75" thickTop="1" x14ac:dyDescent="0.25"/>
    <row r="13" spans="1:17" x14ac:dyDescent="0.25">
      <c r="C13" s="152" t="s">
        <v>31</v>
      </c>
      <c r="D13" s="152" t="s">
        <v>79</v>
      </c>
      <c r="E13" s="152" t="s">
        <v>220</v>
      </c>
      <c r="F13" s="152" t="s">
        <v>156</v>
      </c>
      <c r="G13" s="152" t="s">
        <v>155</v>
      </c>
      <c r="H13" s="152" t="s">
        <v>227</v>
      </c>
    </row>
    <row r="14" spans="1:17" x14ac:dyDescent="0.25">
      <c r="C14" s="153">
        <v>1</v>
      </c>
      <c r="D14" s="152" t="s">
        <v>221</v>
      </c>
      <c r="E14" s="152" t="s">
        <v>222</v>
      </c>
      <c r="F14" s="145">
        <v>55555555.555555552</v>
      </c>
      <c r="G14" s="145">
        <v>10423282.194444444</v>
      </c>
      <c r="H14" s="156">
        <f>SUM(F14:G14)</f>
        <v>65978837.75</v>
      </c>
    </row>
    <row r="15" spans="1:17" x14ac:dyDescent="0.25">
      <c r="C15" s="153">
        <v>2</v>
      </c>
      <c r="D15" s="152" t="s">
        <v>223</v>
      </c>
      <c r="E15" s="152" t="s">
        <v>225</v>
      </c>
      <c r="F15" s="146"/>
      <c r="G15" s="146">
        <v>2000000</v>
      </c>
      <c r="H15" s="156">
        <f t="shared" ref="H15:H22" si="2">SUM(F15:G15)</f>
        <v>2000000</v>
      </c>
    </row>
    <row r="16" spans="1:17" x14ac:dyDescent="0.25">
      <c r="C16" s="153">
        <v>3</v>
      </c>
      <c r="D16" s="152" t="s">
        <v>223</v>
      </c>
      <c r="E16" s="152" t="s">
        <v>226</v>
      </c>
      <c r="F16" s="146"/>
      <c r="G16" s="146">
        <v>4000000</v>
      </c>
      <c r="H16" s="156">
        <f t="shared" si="2"/>
        <v>4000000</v>
      </c>
    </row>
    <row r="17" spans="3:8" x14ac:dyDescent="0.25">
      <c r="C17" s="153">
        <v>4</v>
      </c>
      <c r="D17" s="152" t="s">
        <v>224</v>
      </c>
      <c r="E17" s="152" t="s">
        <v>228</v>
      </c>
      <c r="F17" s="148">
        <v>5842500</v>
      </c>
      <c r="G17" s="148">
        <v>1217000</v>
      </c>
      <c r="H17" s="156">
        <f t="shared" si="2"/>
        <v>7059500</v>
      </c>
    </row>
    <row r="18" spans="3:8" x14ac:dyDescent="0.25">
      <c r="C18" s="153">
        <v>5</v>
      </c>
      <c r="D18" s="152" t="s">
        <v>224</v>
      </c>
      <c r="E18" s="152" t="s">
        <v>229</v>
      </c>
      <c r="F18" s="149">
        <v>4604167</v>
      </c>
      <c r="G18" s="149">
        <v>1238333</v>
      </c>
      <c r="H18" s="156">
        <f t="shared" si="2"/>
        <v>5842500</v>
      </c>
    </row>
    <row r="19" spans="3:8" x14ac:dyDescent="0.25">
      <c r="C19" s="153">
        <v>6</v>
      </c>
      <c r="D19" s="152" t="s">
        <v>224</v>
      </c>
      <c r="E19" s="152" t="s">
        <v>230</v>
      </c>
      <c r="F19" s="155">
        <v>5557563</v>
      </c>
      <c r="G19" s="155">
        <v>1792437</v>
      </c>
      <c r="H19" s="156">
        <f t="shared" si="2"/>
        <v>7350000</v>
      </c>
    </row>
    <row r="20" spans="3:8" x14ac:dyDescent="0.25">
      <c r="C20" s="153">
        <v>7</v>
      </c>
      <c r="D20" s="152" t="s">
        <v>224</v>
      </c>
      <c r="E20" s="152" t="s">
        <v>231</v>
      </c>
      <c r="F20" s="150">
        <v>10416661.632267252</v>
      </c>
      <c r="G20" s="150">
        <v>2098838.3677327465</v>
      </c>
      <c r="H20" s="156">
        <f t="shared" si="2"/>
        <v>12515499.999999998</v>
      </c>
    </row>
    <row r="21" spans="3:8" x14ac:dyDescent="0.25">
      <c r="C21" s="153">
        <v>8</v>
      </c>
      <c r="D21" s="152" t="s">
        <v>224</v>
      </c>
      <c r="E21" s="152" t="s">
        <v>233</v>
      </c>
      <c r="F21" s="151">
        <v>12266476</v>
      </c>
      <c r="G21" s="151">
        <v>3876024</v>
      </c>
      <c r="H21" s="156">
        <f t="shared" si="2"/>
        <v>16142500</v>
      </c>
    </row>
    <row r="22" spans="3:8" x14ac:dyDescent="0.25">
      <c r="C22" s="153">
        <v>9</v>
      </c>
      <c r="D22" s="152" t="s">
        <v>224</v>
      </c>
      <c r="E22" s="152" t="s">
        <v>232</v>
      </c>
      <c r="F22" s="154">
        <v>33055555.568625197</v>
      </c>
      <c r="G22" s="154">
        <v>10444444.431374805</v>
      </c>
      <c r="H22" s="156">
        <f t="shared" si="2"/>
        <v>43500000</v>
      </c>
    </row>
    <row r="23" spans="3:8" x14ac:dyDescent="0.25">
      <c r="F23" s="147"/>
      <c r="G23" s="157">
        <f>+SUM(G14:G22)</f>
        <v>37090358.993551992</v>
      </c>
      <c r="H23" s="157">
        <f>+SUM(H14:H22)</f>
        <v>164388837.75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SEWN</vt:lpstr>
      <vt:lpstr>Penawaran SEWN</vt:lpstr>
      <vt:lpstr>PVSE</vt:lpstr>
      <vt:lpstr>Penawaran PVSE</vt:lpstr>
      <vt:lpstr>PEOM</vt:lpstr>
      <vt:lpstr>Penawaran PEOM</vt:lpstr>
      <vt:lpstr>BBOM</vt:lpstr>
      <vt:lpstr>Penawaran BBOM</vt:lpstr>
      <vt:lpstr>Sheet3</vt:lpstr>
      <vt:lpstr>Sheet2</vt:lpstr>
      <vt:lpstr>BBOM!Print_Area</vt:lpstr>
      <vt:lpstr>PEOM!Print_Area</vt:lpstr>
      <vt:lpstr>PVSE!Print_Area</vt:lpstr>
      <vt:lpstr>SEWN!Print_Area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bod001</dc:creator>
  <cp:lastModifiedBy>FallenElf</cp:lastModifiedBy>
  <cp:lastPrinted>2024-01-10T09:35:51Z</cp:lastPrinted>
  <dcterms:created xsi:type="dcterms:W3CDTF">2017-03-20T10:29:37Z</dcterms:created>
  <dcterms:modified xsi:type="dcterms:W3CDTF">2024-06-24T07:14:22Z</dcterms:modified>
</cp:coreProperties>
</file>