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dk8\system\rtos\cortex_a\tools\Lpddr4_DramConfig\"/>
    </mc:Choice>
  </mc:AlternateContent>
  <bookViews>
    <workbookView xWindow="480" yWindow="135" windowWidth="27795" windowHeight="12555"/>
  </bookViews>
  <sheets>
    <sheet name="DramConfig_DDR4" sheetId="1" r:id="rId1"/>
  </sheets>
  <calcPr calcId="162913" calcMode="autoNoTable"/>
</workbook>
</file>

<file path=xl/calcChain.xml><?xml version="1.0" encoding="utf-8"?>
<calcChain xmlns="http://schemas.openxmlformats.org/spreadsheetml/2006/main">
  <c r="E25" i="1" l="1"/>
  <c r="K22" i="1" l="1"/>
  <c r="J21" i="1"/>
  <c r="M31" i="1" l="1"/>
  <c r="K48" i="1"/>
  <c r="M30" i="1" s="1"/>
  <c r="K47" i="1"/>
  <c r="I18" i="1"/>
  <c r="I17" i="1"/>
  <c r="M9" i="1"/>
  <c r="J36" i="1"/>
  <c r="J35" i="1"/>
  <c r="M8" i="1"/>
  <c r="J18" i="1" l="1"/>
  <c r="J17" i="1"/>
  <c r="K42" i="1" l="1"/>
  <c r="K40" i="1"/>
  <c r="K41" i="1"/>
  <c r="K44" i="1"/>
  <c r="D4" i="1" l="1"/>
  <c r="F8" i="1" s="1"/>
  <c r="D11" i="1"/>
  <c r="M16" i="1"/>
  <c r="J28" i="1"/>
  <c r="J29" i="1"/>
  <c r="K39" i="1"/>
  <c r="M41" i="1" s="1"/>
  <c r="K43" i="1"/>
  <c r="M39" i="1" s="1"/>
  <c r="F20" i="1" l="1"/>
  <c r="G20" i="1" s="1"/>
  <c r="I20" i="1" s="1"/>
  <c r="F15" i="1"/>
  <c r="F32" i="1"/>
  <c r="G32" i="1" s="1"/>
  <c r="E33" i="1"/>
  <c r="F33" i="1" s="1"/>
  <c r="G33" i="1" s="1"/>
  <c r="I33" i="1" s="1"/>
  <c r="J33" i="1" s="1"/>
  <c r="D33" i="1"/>
  <c r="F34" i="1"/>
  <c r="G34" i="1" s="1"/>
  <c r="I34" i="1" s="1"/>
  <c r="J34" i="1" s="1"/>
  <c r="F31" i="1"/>
  <c r="G31" i="1" s="1"/>
  <c r="I31" i="1" s="1"/>
  <c r="J31" i="1" s="1"/>
  <c r="F11" i="1"/>
  <c r="G11" i="1" s="1"/>
  <c r="I11" i="1" s="1"/>
  <c r="J11" i="1" s="1"/>
  <c r="J20" i="1"/>
  <c r="M12" i="1" s="1"/>
  <c r="F9" i="1"/>
  <c r="G9" i="1" s="1"/>
  <c r="I9" i="1" s="1"/>
  <c r="J9" i="1" s="1"/>
  <c r="D25" i="1"/>
  <c r="F24" i="1"/>
  <c r="G24" i="1" s="1"/>
  <c r="I24" i="1" s="1"/>
  <c r="J24" i="1" s="1"/>
  <c r="F14" i="1"/>
  <c r="G14" i="1" s="1"/>
  <c r="I14" i="1" s="1"/>
  <c r="J14" i="1" s="1"/>
  <c r="G8" i="1"/>
  <c r="I8" i="1" s="1"/>
  <c r="J8" i="1" s="1"/>
  <c r="F16" i="1"/>
  <c r="G16" i="1" s="1"/>
  <c r="I16" i="1" s="1"/>
  <c r="J16" i="1" s="1"/>
  <c r="F10" i="1"/>
  <c r="G10" i="1" s="1"/>
  <c r="I10" i="1" s="1"/>
  <c r="J10" i="1" s="1"/>
  <c r="J27" i="1"/>
  <c r="F26" i="1"/>
  <c r="G26" i="1" s="1"/>
  <c r="I26" i="1" s="1"/>
  <c r="J26" i="1" s="1"/>
  <c r="F25" i="1"/>
  <c r="F12" i="1"/>
  <c r="G12" i="1" s="1"/>
  <c r="I12" i="1" s="1"/>
  <c r="J12" i="1" s="1"/>
  <c r="I32" i="1" l="1"/>
  <c r="J32" i="1" s="1"/>
  <c r="G15" i="1"/>
  <c r="K36" i="1"/>
  <c r="M14" i="1" s="1"/>
  <c r="G25" i="1"/>
  <c r="I25" i="1" s="1"/>
  <c r="J25" i="1" s="1"/>
  <c r="K12" i="1"/>
  <c r="M10" i="1" s="1"/>
  <c r="I15" i="1" l="1"/>
  <c r="J15" i="1" s="1"/>
  <c r="K18" i="1" s="1"/>
  <c r="M11" i="1" s="1"/>
  <c r="M29" i="1"/>
  <c r="M28" i="1"/>
  <c r="K29" i="1"/>
  <c r="M13" i="1" s="1"/>
</calcChain>
</file>

<file path=xl/comments1.xml><?xml version="1.0" encoding="utf-8"?>
<comments xmlns="http://schemas.openxmlformats.org/spreadsheetml/2006/main">
  <authors>
    <author>Emily (Yueh-Ju) Tai</author>
    <author>Roger (Rong-Jyh) Kang</author>
  </authors>
  <commentList>
    <comment ref="B3" authorId="0" shapeId="0">
      <text>
        <r>
          <rPr>
            <sz val="11"/>
            <color indexed="81"/>
            <rFont val="Calibri"/>
            <family val="2"/>
          </rPr>
          <t>According to dram spec which you used, please fill up these blanks.</t>
        </r>
      </text>
    </comment>
    <comment ref="H3" authorId="0" shapeId="0">
      <text>
        <r>
          <rPr>
            <sz val="9"/>
            <color indexed="81"/>
            <rFont val="Tahoma"/>
            <family val="2"/>
          </rPr>
          <t xml:space="preserve">Set by DRAM_Ctrl bit[8] 
: 1 (high skew mode/LPDDR4 recommend)
: 0 (sync mode)
</t>
        </r>
      </text>
    </comment>
    <comment ref="C4" authorId="0" shapeId="0">
      <text>
        <r>
          <rPr>
            <sz val="11"/>
            <color indexed="81"/>
            <rFont val="Calibri"/>
            <family val="2"/>
          </rPr>
          <t>The dram frequency must be the multiple of 12.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>
      <text>
        <r>
          <rPr>
            <sz val="11"/>
            <color indexed="81"/>
            <rFont val="Calibri"/>
            <family val="2"/>
          </rPr>
          <t>Refer to Micron DDR4 spec</t>
        </r>
      </text>
    </comment>
    <comment ref="E7" authorId="0" shapeId="0">
      <text>
        <r>
          <rPr>
            <sz val="11"/>
            <color indexed="81"/>
            <rFont val="Calibri"/>
            <family val="2"/>
          </rPr>
          <t>According to dram spec which you used, please fill up these blanks.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>
      <text>
        <r>
          <rPr>
            <sz val="11"/>
            <color indexed="81"/>
            <rFont val="Calibri"/>
            <family val="2"/>
          </rPr>
          <t>= tRAS + tRP</t>
        </r>
      </text>
    </comment>
    <comment ref="D16" authorId="0" shapeId="0">
      <text>
        <r>
          <rPr>
            <sz val="11"/>
            <color indexed="81"/>
            <rFont val="Calibri"/>
            <family val="2"/>
          </rPr>
          <t>tRFCab</t>
        </r>
      </text>
    </comment>
    <comment ref="C17" authorId="1" shapeId="0">
      <text>
        <r>
          <rPr>
            <sz val="9"/>
            <color indexed="81"/>
            <rFont val="Tahoma"/>
            <family val="2"/>
          </rPr>
          <t>CAS Latency</t>
        </r>
      </text>
    </comment>
    <comment ref="C18" authorId="1" shapeId="0">
      <text>
        <r>
          <rPr>
            <sz val="9"/>
            <color indexed="81"/>
            <rFont val="Tahoma"/>
            <family val="2"/>
          </rPr>
          <t>CAS Write Latency</t>
        </r>
      </text>
    </comment>
    <comment ref="D25" authorId="0" shapeId="0">
      <text>
        <r>
          <rPr>
            <sz val="11"/>
            <color indexed="81"/>
            <rFont val="Calibri"/>
            <family val="2"/>
            <scheme val="minor"/>
          </rPr>
          <t>= 1024 * self.tCK</t>
        </r>
      </text>
    </comment>
    <comment ref="E47" authorId="0" shapeId="0">
      <text>
        <r>
          <rPr>
            <sz val="11"/>
            <color indexed="81"/>
            <rFont val="Calibri"/>
            <family val="2"/>
          </rPr>
          <t>Please refer to the following MR3 table</t>
        </r>
      </text>
    </comment>
    <comment ref="E48" authorId="0" shapeId="0">
      <text>
        <r>
          <rPr>
            <sz val="11"/>
            <color indexed="81"/>
            <rFont val="Calibri"/>
            <family val="2"/>
          </rPr>
          <t>Please refer to the following MR11 table</t>
        </r>
      </text>
    </comment>
  </commentList>
</comments>
</file>

<file path=xl/sharedStrings.xml><?xml version="1.0" encoding="utf-8"?>
<sst xmlns="http://schemas.openxmlformats.org/spreadsheetml/2006/main" count="69" uniqueCount="64">
  <si>
    <t>Selection (ohm)</t>
    <phoneticPr fontId="3" type="noConversion"/>
  </si>
  <si>
    <t>IO PHY of DRAM Device</t>
    <phoneticPr fontId="3" type="noConversion"/>
  </si>
  <si>
    <t>Pos</t>
    <phoneticPr fontId="3" type="noConversion"/>
  </si>
  <si>
    <t>ODT Level of DQ[31:16]</t>
    <phoneticPr fontId="3" type="noConversion"/>
  </si>
  <si>
    <t>Drive Strength of DQ[31:16]</t>
    <phoneticPr fontId="3" type="noConversion"/>
  </si>
  <si>
    <t>Enable</t>
  </si>
  <si>
    <t>ODT Switch of DQ[31:16]</t>
    <phoneticPr fontId="3" type="noConversion"/>
  </si>
  <si>
    <t>ODT Level of DQ[15:0]</t>
    <phoneticPr fontId="3" type="noConversion"/>
  </si>
  <si>
    <t>ODT switch of DQ[15:0]</t>
    <phoneticPr fontId="3" type="noConversion"/>
  </si>
  <si>
    <t>Drive Strength of DQ[15:0]</t>
    <phoneticPr fontId="3" type="noConversion"/>
  </si>
  <si>
    <t>IO PHY of DRAM Controller</t>
    <phoneticPr fontId="3" type="noConversion"/>
  </si>
  <si>
    <t>HighSpeed</t>
    <phoneticPr fontId="3" type="noConversion"/>
  </si>
  <si>
    <t>T_OSCO</t>
    <phoneticPr fontId="3" type="noConversion"/>
  </si>
  <si>
    <t>PoweUpCount</t>
    <phoneticPr fontId="3" type="noConversion"/>
  </si>
  <si>
    <t>tFAW</t>
    <phoneticPr fontId="3" type="noConversion"/>
  </si>
  <si>
    <t>Timing4</t>
    <phoneticPr fontId="3" type="noConversion"/>
  </si>
  <si>
    <t>/16</t>
    <phoneticPr fontId="3" type="noConversion"/>
  </si>
  <si>
    <t>tREFI</t>
    <phoneticPr fontId="3" type="noConversion"/>
  </si>
  <si>
    <t>Timing3</t>
    <phoneticPr fontId="3" type="noConversion"/>
  </si>
  <si>
    <t>tWL</t>
    <phoneticPr fontId="3" type="noConversion"/>
  </si>
  <si>
    <t>tRFC</t>
    <phoneticPr fontId="3" type="noConversion"/>
  </si>
  <si>
    <t>tWR</t>
    <phoneticPr fontId="3" type="noConversion"/>
  </si>
  <si>
    <t>tRTP</t>
    <phoneticPr fontId="3" type="noConversion"/>
  </si>
  <si>
    <t>Timing2</t>
    <phoneticPr fontId="3" type="noConversion"/>
  </si>
  <si>
    <t>tRAS</t>
    <phoneticPr fontId="3" type="noConversion"/>
  </si>
  <si>
    <t>tRC</t>
    <phoneticPr fontId="3" type="noConversion"/>
  </si>
  <si>
    <t>tRP</t>
    <phoneticPr fontId="3" type="noConversion"/>
  </si>
  <si>
    <t>tRCD</t>
    <phoneticPr fontId="3" type="noConversion"/>
  </si>
  <si>
    <t xml:space="preserve">Dram Setting : </t>
    <phoneticPr fontId="3" type="noConversion"/>
  </si>
  <si>
    <t>Timing1</t>
    <phoneticPr fontId="3" type="noConversion"/>
  </si>
  <si>
    <t>T_</t>
    <phoneticPr fontId="3" type="noConversion"/>
  </si>
  <si>
    <t>Offset</t>
    <phoneticPr fontId="3" type="noConversion"/>
  </si>
  <si>
    <t>RU</t>
    <phoneticPr fontId="3" type="noConversion"/>
  </si>
  <si>
    <t>timing/tck</t>
    <phoneticPr fontId="3" type="noConversion"/>
  </si>
  <si>
    <t>User</t>
    <phoneticPr fontId="3" type="noConversion"/>
  </si>
  <si>
    <t>Name</t>
    <phoneticPr fontId="3" type="noConversion"/>
  </si>
  <si>
    <t>High Skew mode</t>
    <phoneticPr fontId="3" type="noConversion"/>
  </si>
  <si>
    <t>Page Size (KB)</t>
    <phoneticPr fontId="3" type="noConversion"/>
  </si>
  <si>
    <t>DQ Bus Width (bit)</t>
    <phoneticPr fontId="3" type="noConversion"/>
  </si>
  <si>
    <t>Dram Size (Gb)</t>
    <phoneticPr fontId="3" type="noConversion"/>
  </si>
  <si>
    <t>tCK(ps)</t>
    <phoneticPr fontId="3" type="noConversion"/>
  </si>
  <si>
    <t>Freq (MHz)</t>
    <phoneticPr fontId="3" type="noConversion"/>
  </si>
  <si>
    <t>User</t>
    <phoneticPr fontId="3" type="noConversion"/>
  </si>
  <si>
    <t>DDR4_ModeReg3Param:           .word   0x01030400</t>
  </si>
  <si>
    <t>DDR4_ModeReg4Param:           .word   0x01040000</t>
  </si>
  <si>
    <t>DDR4_ModeReg5Param:           .word   0x01050400</t>
  </si>
  <si>
    <t>tRRD_L</t>
  </si>
  <si>
    <t>tWTR_S</t>
  </si>
  <si>
    <t>tXSDLL</t>
  </si>
  <si>
    <t>/2</t>
  </si>
  <si>
    <t>tWTR_L</t>
  </si>
  <si>
    <t>tCCD_L</t>
  </si>
  <si>
    <t>tCCD_S</t>
  </si>
  <si>
    <t>tRRD_S</t>
  </si>
  <si>
    <t>tCKE_CNT</t>
  </si>
  <si>
    <t>Delay_offset</t>
  </si>
  <si>
    <t>Timing5</t>
  </si>
  <si>
    <t>Refernce Timing
Micron 
MT40A512M16LY</t>
  </si>
  <si>
    <t>Output driver impedance setting of MR1</t>
  </si>
  <si>
    <t>Nominal ODT of MR1</t>
  </si>
  <si>
    <t>RZQ/5(48ohm)</t>
  </si>
  <si>
    <t>RZQ/5</t>
  </si>
  <si>
    <t>tCL</t>
  </si>
  <si>
    <t>T_DQS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</si>
</sst>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1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2"/>
      <charset val="136"/>
      <scheme val="minor"/>
    </font>
    <font>
      <b/>
      <sz val="11"/>
      <color theme="1"/>
      <name val="Calibri"/>
      <family val="2"/>
    </font>
    <font>
      <sz val="11"/>
      <color indexed="81"/>
      <name val="Calibri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1"/>
      <color indexed="8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PMingLiU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Protection="1">
      <alignment vertical="center"/>
      <protection hidden="1"/>
    </xf>
    <xf numFmtId="0" fontId="2" fillId="3" borderId="1" xfId="0" applyFont="1" applyFill="1" applyBorder="1" applyAlignment="1" applyProtection="1">
      <alignment vertical="center"/>
      <protection hidden="1"/>
    </xf>
    <xf numFmtId="0" fontId="2" fillId="3" borderId="1" xfId="0" applyFont="1" applyFill="1" applyBorder="1" applyAlignment="1" applyProtection="1">
      <alignment horizontal="right" vertical="center"/>
      <protection hidden="1"/>
    </xf>
    <xf numFmtId="0" fontId="2" fillId="3" borderId="3" xfId="0" applyFont="1" applyFill="1" applyBorder="1" applyAlignment="1" applyProtection="1">
      <alignment horizontal="right" vertical="center"/>
      <protection hidden="1"/>
    </xf>
    <xf numFmtId="0" fontId="2" fillId="4" borderId="1" xfId="0" applyFont="1" applyFill="1" applyBorder="1" applyProtection="1">
      <alignment vertical="center"/>
      <protection hidden="1"/>
    </xf>
    <xf numFmtId="0" fontId="2" fillId="2" borderId="0" xfId="0" applyFont="1" applyFill="1" applyProtection="1">
      <alignment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vertical="center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right" vertical="center"/>
      <protection hidden="1"/>
    </xf>
    <xf numFmtId="0" fontId="7" fillId="3" borderId="9" xfId="0" applyFont="1" applyFill="1" applyBorder="1" applyAlignment="1" applyProtection="1">
      <alignment horizontal="right" vertical="center"/>
      <protection hidden="1"/>
    </xf>
    <xf numFmtId="0" fontId="7" fillId="3" borderId="7" xfId="0" applyFont="1" applyFill="1" applyBorder="1" applyAlignment="1" applyProtection="1">
      <alignment horizontal="right"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7" fillId="3" borderId="1" xfId="0" applyFont="1" applyFill="1" applyBorder="1" applyProtection="1">
      <alignment vertical="center"/>
      <protection hidden="1"/>
    </xf>
    <xf numFmtId="0" fontId="7" fillId="3" borderId="1" xfId="0" applyFont="1" applyFill="1" applyBorder="1" applyAlignment="1" applyProtection="1">
      <alignment horizontal="right" vertical="center"/>
      <protection hidden="1"/>
    </xf>
    <xf numFmtId="0" fontId="2" fillId="0" borderId="0" xfId="0" applyFont="1" applyBorder="1">
      <alignment vertical="center"/>
    </xf>
    <xf numFmtId="0" fontId="10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46" fontId="9" fillId="0" borderId="0" xfId="0" applyNumberFormat="1" applyFont="1" applyBorder="1" applyAlignment="1">
      <alignment vertical="center" wrapText="1"/>
    </xf>
    <xf numFmtId="20" fontId="9" fillId="0" borderId="0" xfId="0" applyNumberFormat="1" applyFont="1" applyBorder="1" applyAlignment="1">
      <alignment vertical="center" wrapText="1"/>
    </xf>
    <xf numFmtId="0" fontId="7" fillId="2" borderId="0" xfId="0" applyFont="1" applyFill="1" applyProtection="1">
      <alignment vertical="center"/>
      <protection hidden="1"/>
    </xf>
    <xf numFmtId="164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Protection="1">
      <alignment vertical="center"/>
      <protection hidden="1"/>
    </xf>
    <xf numFmtId="0" fontId="2" fillId="3" borderId="8" xfId="0" applyNumberFormat="1" applyFont="1" applyFill="1" applyBorder="1" applyProtection="1">
      <alignment vertical="center"/>
      <protection hidden="1"/>
    </xf>
    <xf numFmtId="0" fontId="2" fillId="3" borderId="6" xfId="0" applyNumberFormat="1" applyFont="1" applyFill="1" applyBorder="1" applyProtection="1">
      <alignment vertical="center"/>
      <protection hidden="1"/>
    </xf>
    <xf numFmtId="0" fontId="2" fillId="3" borderId="1" xfId="0" applyNumberFormat="1" applyFont="1" applyFill="1" applyBorder="1" applyProtection="1">
      <alignment vertical="center"/>
      <protection hidden="1"/>
    </xf>
    <xf numFmtId="2" fontId="2" fillId="0" borderId="0" xfId="0" applyNumberFormat="1" applyFont="1">
      <alignment vertical="center"/>
    </xf>
    <xf numFmtId="2" fontId="2" fillId="0" borderId="0" xfId="0" applyNumberFormat="1" applyFont="1" applyBorder="1">
      <alignment vertical="center"/>
    </xf>
    <xf numFmtId="0" fontId="2" fillId="0" borderId="0" xfId="0" applyNumberFormat="1" applyFont="1">
      <alignment vertical="center"/>
    </xf>
    <xf numFmtId="0" fontId="10" fillId="0" borderId="0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vertical="center" wrapText="1"/>
    </xf>
    <xf numFmtId="0" fontId="1" fillId="0" borderId="0" xfId="0" applyNumberFormat="1" applyFont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75"/>
  <sheetViews>
    <sheetView tabSelected="1" topLeftCell="A13" zoomScaleNormal="100" workbookViewId="0">
      <selection activeCell="M30" sqref="M30"/>
    </sheetView>
  </sheetViews>
  <sheetFormatPr defaultColWidth="9.140625" defaultRowHeight="15"/>
  <cols>
    <col min="1" max="1" width="9.140625" style="1"/>
    <col min="2" max="2" width="6.7109375" style="1" customWidth="1"/>
    <col min="3" max="3" width="14.7109375" style="1" customWidth="1"/>
    <col min="4" max="4" width="20.42578125" style="1" customWidth="1"/>
    <col min="5" max="5" width="17.5703125" style="1" customWidth="1"/>
    <col min="6" max="6" width="20.5703125" style="1" customWidth="1"/>
    <col min="7" max="8" width="18.85546875" style="1" customWidth="1"/>
    <col min="9" max="9" width="13.5703125" style="1" customWidth="1"/>
    <col min="10" max="10" width="12.85546875" style="1" customWidth="1"/>
    <col min="11" max="11" width="13.85546875" style="1" customWidth="1"/>
    <col min="12" max="12" width="4.140625" style="1" customWidth="1"/>
    <col min="13" max="13" width="58" style="1" customWidth="1"/>
    <col min="14" max="14" width="26.28515625" style="1" customWidth="1"/>
    <col min="15" max="16384" width="9.140625" style="1"/>
  </cols>
  <sheetData>
    <row r="3" spans="2:13">
      <c r="B3" s="50" t="s">
        <v>34</v>
      </c>
      <c r="C3" s="20" t="s">
        <v>41</v>
      </c>
      <c r="D3" s="20" t="s">
        <v>40</v>
      </c>
      <c r="E3" s="18" t="s">
        <v>39</v>
      </c>
      <c r="F3" s="18" t="s">
        <v>38</v>
      </c>
      <c r="G3" s="18" t="s">
        <v>37</v>
      </c>
      <c r="H3" s="18" t="s">
        <v>36</v>
      </c>
      <c r="J3" s="19"/>
      <c r="K3" s="19"/>
    </row>
    <row r="4" spans="2:13">
      <c r="B4" s="50"/>
      <c r="C4" s="22">
        <v>1596</v>
      </c>
      <c r="D4" s="36">
        <f xml:space="preserve"> 1/C4*1000*1000</f>
        <v>626.56641604010019</v>
      </c>
      <c r="E4" s="22">
        <v>16</v>
      </c>
      <c r="F4" s="22">
        <v>32</v>
      </c>
      <c r="G4" s="22">
        <v>4</v>
      </c>
      <c r="H4" s="22" t="s">
        <v>5</v>
      </c>
      <c r="K4" s="19"/>
    </row>
    <row r="5" spans="2:13">
      <c r="B5" s="19"/>
      <c r="K5" s="19"/>
    </row>
    <row r="6" spans="2:13">
      <c r="B6" s="19"/>
      <c r="K6" s="19"/>
    </row>
    <row r="7" spans="2:13" ht="48" customHeight="1">
      <c r="B7" s="15" t="s">
        <v>2</v>
      </c>
      <c r="C7" s="15" t="s">
        <v>35</v>
      </c>
      <c r="D7" s="18" t="s">
        <v>57</v>
      </c>
      <c r="E7" s="17" t="s">
        <v>42</v>
      </c>
      <c r="F7" s="15" t="s">
        <v>33</v>
      </c>
      <c r="G7" s="15" t="s">
        <v>32</v>
      </c>
      <c r="H7" s="15" t="s">
        <v>31</v>
      </c>
      <c r="I7" s="15" t="s">
        <v>30</v>
      </c>
      <c r="J7" s="15"/>
      <c r="K7" s="15" t="s">
        <v>29</v>
      </c>
      <c r="M7" s="14" t="s">
        <v>28</v>
      </c>
    </row>
    <row r="8" spans="2:13">
      <c r="B8" s="5">
        <v>0</v>
      </c>
      <c r="C8" s="9" t="s">
        <v>46</v>
      </c>
      <c r="D8" s="23">
        <v>6400</v>
      </c>
      <c r="E8" s="13">
        <v>6400</v>
      </c>
      <c r="F8" s="37">
        <f>E8/$D$4</f>
        <v>10.214400000000001</v>
      </c>
      <c r="G8" s="9">
        <f>ROUNDUP(F8,0)</f>
        <v>11</v>
      </c>
      <c r="H8" s="9">
        <v>-2</v>
      </c>
      <c r="I8" s="9">
        <f>G8+H8</f>
        <v>9</v>
      </c>
      <c r="J8" s="9">
        <f>I8*2^B8</f>
        <v>9</v>
      </c>
      <c r="K8" s="5"/>
      <c r="M8" s="14" t="str">
        <f>"DRAM_CtrlParam:                 .word   0x600072"&amp;IF(H4="Enable",8,0)&amp;0</f>
        <v>DRAM_CtrlParam:                 .word   0x60007280</v>
      </c>
    </row>
    <row r="9" spans="2:13">
      <c r="B9" s="5">
        <v>5</v>
      </c>
      <c r="C9" s="9" t="s">
        <v>27</v>
      </c>
      <c r="D9" s="23">
        <v>13750</v>
      </c>
      <c r="E9" s="13">
        <v>13750</v>
      </c>
      <c r="F9" s="37">
        <f>E9/$D$4</f>
        <v>21.945</v>
      </c>
      <c r="G9" s="9">
        <f>ROUNDUP(F9,0)</f>
        <v>22</v>
      </c>
      <c r="H9" s="9">
        <v>-2</v>
      </c>
      <c r="I9" s="9">
        <f>G9+H9</f>
        <v>20</v>
      </c>
      <c r="J9" s="9">
        <f>I9*2^B9</f>
        <v>640</v>
      </c>
      <c r="K9" s="5"/>
      <c r="M9" s="14" t="str">
        <f>"DRAM_ConfigParam:               .word   0x68180"&amp;IF(F4=32,0,1)&amp;IF(E4=16,"d",IF(E4=8,"b",IF(E4=4,9,IF(E4=2,7,5))))&amp;IF(G4=4,8,4)</f>
        <v>DRAM_ConfigParam:               .word   0x681800d8</v>
      </c>
    </row>
    <row r="10" spans="2:13">
      <c r="B10" s="5">
        <v>11</v>
      </c>
      <c r="C10" s="9" t="s">
        <v>26</v>
      </c>
      <c r="D10" s="23">
        <v>13750</v>
      </c>
      <c r="E10" s="13">
        <v>13750</v>
      </c>
      <c r="F10" s="37">
        <f>E10/$D$4</f>
        <v>21.945</v>
      </c>
      <c r="G10" s="9">
        <f>ROUNDUP(F10,0)</f>
        <v>22</v>
      </c>
      <c r="H10" s="9">
        <v>-2</v>
      </c>
      <c r="I10" s="9">
        <f>G10+H10</f>
        <v>20</v>
      </c>
      <c r="J10" s="9">
        <f>I10*2^B10</f>
        <v>40960</v>
      </c>
      <c r="K10" s="5"/>
      <c r="M10" s="14" t="str">
        <f>"DRAM_Timing1Param:              .word   0x"&amp;K12</f>
        <v>DRAM_Timing1Param:              .word   0x6890A289</v>
      </c>
    </row>
    <row r="11" spans="2:13">
      <c r="B11" s="5">
        <v>17</v>
      </c>
      <c r="C11" s="9" t="s">
        <v>25</v>
      </c>
      <c r="D11" s="23">
        <f xml:space="preserve"> D12+D10</f>
        <v>45750</v>
      </c>
      <c r="E11" s="13">
        <v>45750</v>
      </c>
      <c r="F11" s="37">
        <f>E11/$D$4</f>
        <v>73.01700000000001</v>
      </c>
      <c r="G11" s="9">
        <f>ROUNDUP(F11,0)</f>
        <v>74</v>
      </c>
      <c r="H11" s="9">
        <v>-2</v>
      </c>
      <c r="I11" s="9">
        <f>G11+H11</f>
        <v>72</v>
      </c>
      <c r="J11" s="9">
        <f>I11*2^B11</f>
        <v>9437184</v>
      </c>
      <c r="K11" s="5"/>
      <c r="M11" s="14" t="str">
        <f>"DRAM_Timing2Param:              .word   0x"&amp;K18</f>
        <v>DRAM_Timing2Param:              .word   0x1AA4616A</v>
      </c>
    </row>
    <row r="12" spans="2:13">
      <c r="B12" s="5">
        <v>25</v>
      </c>
      <c r="C12" s="9" t="s">
        <v>24</v>
      </c>
      <c r="D12" s="23">
        <v>32000</v>
      </c>
      <c r="E12" s="13">
        <v>32000</v>
      </c>
      <c r="F12" s="37">
        <f>E12/$D$4</f>
        <v>51.072000000000003</v>
      </c>
      <c r="G12" s="9">
        <f>ROUNDUP(F12,0)</f>
        <v>52</v>
      </c>
      <c r="H12" s="9">
        <v>0</v>
      </c>
      <c r="I12" s="9">
        <f>G12+H12</f>
        <v>52</v>
      </c>
      <c r="J12" s="9">
        <f>I12*2^B12</f>
        <v>1744830464</v>
      </c>
      <c r="K12" s="5" t="str">
        <f>DEC2HEX(SUM(J8:J12),8)</f>
        <v>6890A289</v>
      </c>
      <c r="M12" s="14" t="str">
        <f>"DRAM_Timing3Param:              .word   0x"&amp;K22</f>
        <v>DRAM_Timing3Param:              .word   0x2000030B</v>
      </c>
    </row>
    <row r="13" spans="2:13">
      <c r="B13" s="5"/>
      <c r="C13" s="9"/>
      <c r="D13" s="23"/>
      <c r="E13" s="9"/>
      <c r="F13" s="37"/>
      <c r="G13" s="9"/>
      <c r="H13" s="9"/>
      <c r="I13" s="9"/>
      <c r="J13" s="9"/>
      <c r="K13" s="15" t="s">
        <v>23</v>
      </c>
      <c r="M13" s="14" t="str">
        <f>"DRAM_Timing4Param:              .word   0x"&amp;K29</f>
        <v>DRAM_Timing4Param:              .word   0x1285FF2E</v>
      </c>
    </row>
    <row r="14" spans="2:13">
      <c r="B14" s="5">
        <v>0</v>
      </c>
      <c r="C14" s="9" t="s">
        <v>22</v>
      </c>
      <c r="D14" s="23">
        <v>7500</v>
      </c>
      <c r="E14" s="13">
        <v>7500</v>
      </c>
      <c r="F14" s="37">
        <f>E14/$D$4</f>
        <v>11.97</v>
      </c>
      <c r="G14" s="9">
        <f>ROUNDUP(F14,0)</f>
        <v>12</v>
      </c>
      <c r="H14" s="9">
        <v>-2</v>
      </c>
      <c r="I14" s="9">
        <f>G14+H14</f>
        <v>10</v>
      </c>
      <c r="J14" s="9">
        <f>I14*2^B14</f>
        <v>10</v>
      </c>
      <c r="K14" s="5"/>
      <c r="M14" s="35" t="str">
        <f>"DRAM_Timing5Lp4TrainingParam:   .word   0x"&amp;K36</f>
        <v>DRAM_Timing5Lp4TrainingParam:   .word   0x0058A84C</v>
      </c>
    </row>
    <row r="15" spans="2:13">
      <c r="B15" s="5">
        <v>4</v>
      </c>
      <c r="C15" s="9" t="s">
        <v>21</v>
      </c>
      <c r="D15" s="23">
        <v>15000</v>
      </c>
      <c r="E15" s="13">
        <v>15000</v>
      </c>
      <c r="F15" s="37">
        <f>E15/$D$4</f>
        <v>23.94</v>
      </c>
      <c r="G15" s="9">
        <f>ROUNDUP(F15,0)</f>
        <v>24</v>
      </c>
      <c r="H15" s="9">
        <v>-2</v>
      </c>
      <c r="I15" s="9">
        <f>G15+H15</f>
        <v>22</v>
      </c>
      <c r="J15" s="9">
        <f>I15*2^B15</f>
        <v>352</v>
      </c>
      <c r="K15" s="5"/>
      <c r="M15" s="14"/>
    </row>
    <row r="16" spans="2:13">
      <c r="B16" s="5">
        <v>10</v>
      </c>
      <c r="C16" s="9" t="s">
        <v>20</v>
      </c>
      <c r="D16" s="24">
        <v>350000</v>
      </c>
      <c r="E16" s="13">
        <v>350000</v>
      </c>
      <c r="F16" s="38">
        <f>E16/$D$4</f>
        <v>558.6</v>
      </c>
      <c r="G16" s="9">
        <f>ROUNDUP(F16,0)</f>
        <v>559</v>
      </c>
      <c r="H16" s="11" t="s">
        <v>49</v>
      </c>
      <c r="I16" s="9">
        <f>ROUNDUP(G16/2,0)</f>
        <v>280</v>
      </c>
      <c r="J16" s="9">
        <f>I16*2^B16</f>
        <v>286720</v>
      </c>
      <c r="K16" s="5"/>
      <c r="M16" s="14" t="str">
        <f>"DLL_CtrlSelMiscParam:           .word   0x0018"&amp;IF(H4="Enable",8,0)&amp;"000"</f>
        <v>DLL_CtrlSelMiscParam:           .word   0x00188000</v>
      </c>
    </row>
    <row r="17" spans="2:16">
      <c r="B17" s="5">
        <v>19</v>
      </c>
      <c r="C17" s="9" t="s">
        <v>62</v>
      </c>
      <c r="D17" s="23">
        <v>20</v>
      </c>
      <c r="E17" s="13">
        <v>22</v>
      </c>
      <c r="F17" s="37"/>
      <c r="G17" s="9"/>
      <c r="H17" s="28">
        <v>-2</v>
      </c>
      <c r="I17" s="9">
        <f>E17+H17</f>
        <v>20</v>
      </c>
      <c r="J17" s="9">
        <f>I17*2^B17</f>
        <v>10485760</v>
      </c>
      <c r="K17" s="5"/>
      <c r="M17" s="14"/>
      <c r="O17" s="1">
        <v>9</v>
      </c>
      <c r="P17" s="1">
        <v>1</v>
      </c>
    </row>
    <row r="18" spans="2:16">
      <c r="B18" s="5">
        <v>25</v>
      </c>
      <c r="C18" s="9" t="s">
        <v>19</v>
      </c>
      <c r="D18" s="23">
        <v>16</v>
      </c>
      <c r="E18" s="13">
        <v>16</v>
      </c>
      <c r="F18" s="37"/>
      <c r="G18" s="9"/>
      <c r="H18" s="28">
        <v>-3</v>
      </c>
      <c r="I18" s="9">
        <f>E18+H18</f>
        <v>13</v>
      </c>
      <c r="J18" s="9">
        <f>I18*2^B18</f>
        <v>436207616</v>
      </c>
      <c r="K18" s="5" t="str">
        <f>DEC2HEX(SUM(J14:J18),8)</f>
        <v>1AA4616A</v>
      </c>
      <c r="M18" s="14"/>
      <c r="N18" s="16"/>
      <c r="O18" s="1">
        <v>10</v>
      </c>
      <c r="P18" s="1">
        <v>5</v>
      </c>
    </row>
    <row r="19" spans="2:16">
      <c r="B19" s="5"/>
      <c r="C19" s="9"/>
      <c r="D19" s="25"/>
      <c r="E19" s="9"/>
      <c r="F19" s="39"/>
      <c r="G19" s="9"/>
      <c r="H19" s="9"/>
      <c r="I19" s="9"/>
      <c r="J19" s="9"/>
      <c r="K19" s="15" t="s">
        <v>18</v>
      </c>
      <c r="M19" s="14"/>
      <c r="O19" s="30">
        <v>11</v>
      </c>
      <c r="P19" s="30">
        <v>17</v>
      </c>
    </row>
    <row r="20" spans="2:16">
      <c r="B20" s="5">
        <v>0</v>
      </c>
      <c r="C20" s="9" t="s">
        <v>17</v>
      </c>
      <c r="D20" s="23">
        <v>7800000</v>
      </c>
      <c r="E20" s="13">
        <v>7800000</v>
      </c>
      <c r="F20" s="37">
        <f>E20/$D$4</f>
        <v>12448.800000000001</v>
      </c>
      <c r="G20" s="9">
        <f>ROUNDUP(F20,0)</f>
        <v>12449</v>
      </c>
      <c r="H20" s="11" t="s">
        <v>16</v>
      </c>
      <c r="I20" s="9">
        <f>ROUNDUP(G20/16,0)</f>
        <v>779</v>
      </c>
      <c r="J20" s="9">
        <f>ROUNDDOWN(I20,0)</f>
        <v>779</v>
      </c>
      <c r="K20" s="5"/>
      <c r="M20" s="14"/>
      <c r="O20" s="30">
        <v>12</v>
      </c>
      <c r="P20" s="30">
        <v>21</v>
      </c>
    </row>
    <row r="21" spans="2:16">
      <c r="B21" s="5">
        <v>29</v>
      </c>
      <c r="C21" s="9" t="s">
        <v>63</v>
      </c>
      <c r="D21" s="23">
        <v>1</v>
      </c>
      <c r="E21" s="9"/>
      <c r="F21" s="37"/>
      <c r="G21" s="9"/>
      <c r="H21" s="11"/>
      <c r="I21" s="9"/>
      <c r="J21" s="9">
        <f>D21*2^B21</f>
        <v>536870912</v>
      </c>
      <c r="K21" s="5"/>
      <c r="M21" s="14"/>
      <c r="O21" s="30"/>
      <c r="P21" s="30"/>
    </row>
    <row r="22" spans="2:16">
      <c r="B22" s="5"/>
      <c r="C22" s="9"/>
      <c r="D22" s="23"/>
      <c r="E22" s="9"/>
      <c r="F22" s="37"/>
      <c r="G22" s="9"/>
      <c r="H22" s="9"/>
      <c r="I22" s="9"/>
      <c r="J22" s="9"/>
      <c r="K22" s="5" t="str">
        <f>DEC2HEX(SUM(J20:J21),8)</f>
        <v>2000030B</v>
      </c>
      <c r="M22" s="14"/>
      <c r="O22" s="30">
        <v>13</v>
      </c>
      <c r="P22" s="30">
        <v>33</v>
      </c>
    </row>
    <row r="23" spans="2:16">
      <c r="B23" s="5"/>
      <c r="C23" s="9"/>
      <c r="D23" s="23"/>
      <c r="E23" s="9"/>
      <c r="F23" s="37"/>
      <c r="G23" s="9"/>
      <c r="H23" s="9"/>
      <c r="I23" s="9"/>
      <c r="J23" s="9"/>
      <c r="K23" s="15" t="s">
        <v>15</v>
      </c>
      <c r="M23" s="14"/>
      <c r="O23" s="30">
        <v>14</v>
      </c>
      <c r="P23" s="30">
        <v>37</v>
      </c>
    </row>
    <row r="24" spans="2:16">
      <c r="B24" s="5">
        <v>0</v>
      </c>
      <c r="C24" s="9" t="s">
        <v>14</v>
      </c>
      <c r="D24" s="23">
        <v>30000</v>
      </c>
      <c r="E24" s="13">
        <v>30000</v>
      </c>
      <c r="F24" s="37">
        <f>E24/$D$4</f>
        <v>47.88</v>
      </c>
      <c r="G24" s="9">
        <f>ROUNDUP(F24,0)</f>
        <v>48</v>
      </c>
      <c r="H24" s="9">
        <v>-2</v>
      </c>
      <c r="I24" s="9">
        <f>SUM(G24,H24)</f>
        <v>46</v>
      </c>
      <c r="J24" s="9">
        <f>I24*2^B24</f>
        <v>46</v>
      </c>
      <c r="K24" s="5"/>
      <c r="M24" s="14"/>
      <c r="O24" s="30">
        <v>15</v>
      </c>
      <c r="P24" s="30">
        <v>49</v>
      </c>
    </row>
    <row r="25" spans="2:16">
      <c r="B25" s="5">
        <v>7</v>
      </c>
      <c r="C25" s="9" t="s">
        <v>48</v>
      </c>
      <c r="D25" s="23">
        <f>ROUNDUP(1024*D4,0)</f>
        <v>641605</v>
      </c>
      <c r="E25" s="13">
        <f>1024*D4</f>
        <v>641604.0100250626</v>
      </c>
      <c r="F25" s="37">
        <f>E25/$D$4</f>
        <v>1024</v>
      </c>
      <c r="G25" s="9">
        <f>ROUNDUP(F25,0)</f>
        <v>1024</v>
      </c>
      <c r="H25" s="9">
        <v>-2</v>
      </c>
      <c r="I25" s="9">
        <f>SUM(G25,H25)</f>
        <v>1022</v>
      </c>
      <c r="J25" s="9">
        <f>I25*2^B25</f>
        <v>130816</v>
      </c>
      <c r="K25" s="5"/>
      <c r="M25" s="14"/>
      <c r="O25" s="30">
        <v>16</v>
      </c>
      <c r="P25" s="30">
        <v>53</v>
      </c>
    </row>
    <row r="26" spans="2:16">
      <c r="B26" s="5">
        <v>17</v>
      </c>
      <c r="C26" s="9" t="s">
        <v>47</v>
      </c>
      <c r="D26" s="23">
        <v>2500</v>
      </c>
      <c r="E26" s="13">
        <v>2500</v>
      </c>
      <c r="F26" s="37">
        <f>E26/$D$4</f>
        <v>3.99</v>
      </c>
      <c r="G26" s="9">
        <f>ROUNDUP(F26,0)</f>
        <v>4</v>
      </c>
      <c r="H26" s="9">
        <v>-2</v>
      </c>
      <c r="I26" s="9">
        <f>SUM(G26,H26)</f>
        <v>2</v>
      </c>
      <c r="J26" s="9">
        <f>I26*2^B26</f>
        <v>262144</v>
      </c>
      <c r="K26" s="5"/>
      <c r="M26" s="14"/>
      <c r="O26" s="30">
        <v>18</v>
      </c>
      <c r="P26" s="30">
        <v>65</v>
      </c>
    </row>
    <row r="27" spans="2:16">
      <c r="B27" s="5">
        <v>22</v>
      </c>
      <c r="C27" s="9" t="s">
        <v>13</v>
      </c>
      <c r="D27" s="12">
        <v>10</v>
      </c>
      <c r="E27" s="11"/>
      <c r="F27" s="37"/>
      <c r="G27" s="9"/>
      <c r="H27" s="9"/>
      <c r="I27" s="9"/>
      <c r="J27" s="9">
        <f>D27*2^B27</f>
        <v>41943040</v>
      </c>
      <c r="K27" s="3"/>
      <c r="M27" s="14"/>
      <c r="O27" s="30">
        <v>20</v>
      </c>
      <c r="P27" s="30">
        <v>69</v>
      </c>
    </row>
    <row r="28" spans="2:16">
      <c r="B28" s="5">
        <v>27</v>
      </c>
      <c r="C28" s="9" t="s">
        <v>12</v>
      </c>
      <c r="D28" s="11">
        <v>2</v>
      </c>
      <c r="E28" s="10"/>
      <c r="F28" s="40"/>
      <c r="G28" s="9"/>
      <c r="H28" s="9"/>
      <c r="I28" s="9"/>
      <c r="J28" s="9">
        <f>D28*2^B28</f>
        <v>268435456</v>
      </c>
      <c r="K28" s="5"/>
      <c r="M28" s="2" t="str">
        <f>"DDR4_ModeReg0Param:           .word   0x0x01000"&amp;DEC2HEX(INDEX(P17:P41,MATCH(E17,O17:O41,0))+INDEX(P44:P51,MATCH(G15,O44:O51,0))*2^9)</f>
        <v>DDR4_ModeReg0Param:           .word   0x0x01000C51</v>
      </c>
      <c r="O28" s="30">
        <v>22</v>
      </c>
      <c r="P28" s="30">
        <v>81</v>
      </c>
    </row>
    <row r="29" spans="2:16">
      <c r="B29" s="27">
        <v>29</v>
      </c>
      <c r="C29" s="28" t="s">
        <v>11</v>
      </c>
      <c r="D29" s="29">
        <v>0</v>
      </c>
      <c r="E29" s="10"/>
      <c r="F29" s="40"/>
      <c r="G29" s="9"/>
      <c r="H29" s="9"/>
      <c r="I29" s="9"/>
      <c r="J29" s="9">
        <f>D29*2^B29</f>
        <v>0</v>
      </c>
      <c r="K29" s="5" t="str">
        <f>DEC2HEX(SUM(J24:J29),8)</f>
        <v>1285FF2E</v>
      </c>
      <c r="M29" s="2" t="str">
        <f>"DDR4_ModeReg0Param_DLL_Rst:   .word   0x01000"&amp;DEC2HEX(INDEX(P17:P41,MATCH(E17,O17:O41,0))+INDEX(P44:P51,MATCH(G15,O44:O51,0))*2^9+2^8)</f>
        <v>DDR4_ModeReg0Param_DLL_Rst:   .word   0x01000D51</v>
      </c>
      <c r="O29" s="30">
        <v>24</v>
      </c>
      <c r="P29" s="30">
        <v>85</v>
      </c>
    </row>
    <row r="30" spans="2:16">
      <c r="B30" s="5"/>
      <c r="C30" s="9"/>
      <c r="D30" s="11"/>
      <c r="E30" s="10"/>
      <c r="F30" s="40"/>
      <c r="G30" s="9"/>
      <c r="H30" s="9"/>
      <c r="I30" s="9"/>
      <c r="J30" s="9"/>
      <c r="K30" s="26" t="s">
        <v>56</v>
      </c>
      <c r="M30" s="2" t="str">
        <f>"DDR4_ModeReg1Param:           .word   0x01010"&amp;DEC2HEX((K48*2^B48)+(K47*2^B47)+2^0)</f>
        <v>DDR4_ModeReg1Param:           .word   0x01010503</v>
      </c>
      <c r="O30" s="30">
        <v>23</v>
      </c>
      <c r="P30" s="30">
        <v>97</v>
      </c>
    </row>
    <row r="31" spans="2:16">
      <c r="B31" s="5">
        <v>0</v>
      </c>
      <c r="C31" s="9" t="s">
        <v>50</v>
      </c>
      <c r="D31" s="11">
        <v>7500</v>
      </c>
      <c r="E31" s="51">
        <v>7500</v>
      </c>
      <c r="F31" s="40">
        <f>E31/$D$4</f>
        <v>11.97</v>
      </c>
      <c r="G31" s="9">
        <f>ROUNDUP(F31,0)</f>
        <v>12</v>
      </c>
      <c r="H31" s="9">
        <v>0</v>
      </c>
      <c r="I31" s="9">
        <f>G31+H31</f>
        <v>12</v>
      </c>
      <c r="J31" s="9">
        <f>I31*2^B31</f>
        <v>12</v>
      </c>
      <c r="K31" s="5"/>
      <c r="M31" s="2" t="str">
        <f>"DDR4_ModeReg2Param:           .word   0x010200"&amp;DEC2HEX(IF(E18&gt;=14,(E18/2-3)*2^3,(E18-9)*2^3))</f>
        <v>DDR4_ModeReg2Param:           .word   0x01020028</v>
      </c>
      <c r="O31" s="30">
        <v>17</v>
      </c>
      <c r="P31" s="30">
        <v>101</v>
      </c>
    </row>
    <row r="32" spans="2:16">
      <c r="B32" s="5">
        <v>4</v>
      </c>
      <c r="C32" s="9" t="s">
        <v>51</v>
      </c>
      <c r="D32" s="11">
        <v>5000</v>
      </c>
      <c r="E32" s="51">
        <v>5000</v>
      </c>
      <c r="F32" s="40">
        <f t="shared" ref="F32:F34" si="0">E32/$D$4</f>
        <v>7.98</v>
      </c>
      <c r="G32" s="9">
        <f t="shared" ref="G32:G34" si="1">ROUNDUP(F32,0)</f>
        <v>8</v>
      </c>
      <c r="H32" s="9">
        <v>-4</v>
      </c>
      <c r="I32" s="9">
        <f t="shared" ref="I32:I34" si="2">G32+H32</f>
        <v>4</v>
      </c>
      <c r="J32" s="9">
        <f t="shared" ref="J32:J34" si="3">I32*2^B32</f>
        <v>64</v>
      </c>
      <c r="K32" s="5"/>
      <c r="M32" s="2" t="s">
        <v>43</v>
      </c>
      <c r="O32" s="30">
        <v>19</v>
      </c>
      <c r="P32" s="30">
        <v>113</v>
      </c>
    </row>
    <row r="33" spans="2:16">
      <c r="B33" s="5">
        <v>8</v>
      </c>
      <c r="C33" s="9" t="s">
        <v>52</v>
      </c>
      <c r="D33" s="11">
        <f>4*D4</f>
        <v>2506.2656641604008</v>
      </c>
      <c r="E33" s="51">
        <f>4*D4</f>
        <v>2506.2656641604008</v>
      </c>
      <c r="F33" s="40">
        <f t="shared" si="0"/>
        <v>4</v>
      </c>
      <c r="G33" s="9">
        <f t="shared" si="1"/>
        <v>4</v>
      </c>
      <c r="H33" s="9">
        <v>-4</v>
      </c>
      <c r="I33" s="9">
        <f t="shared" si="2"/>
        <v>0</v>
      </c>
      <c r="J33" s="9">
        <f t="shared" si="3"/>
        <v>0</v>
      </c>
      <c r="K33" s="5"/>
      <c r="M33" s="2" t="s">
        <v>44</v>
      </c>
      <c r="O33" s="30">
        <v>21</v>
      </c>
      <c r="P33" s="30">
        <v>117</v>
      </c>
    </row>
    <row r="34" spans="2:16">
      <c r="B34" s="5">
        <v>11</v>
      </c>
      <c r="C34" s="9" t="s">
        <v>53</v>
      </c>
      <c r="D34" s="11">
        <v>5300</v>
      </c>
      <c r="E34" s="51">
        <v>5300</v>
      </c>
      <c r="F34" s="40">
        <f t="shared" si="0"/>
        <v>8.4588000000000001</v>
      </c>
      <c r="G34" s="9">
        <f t="shared" si="1"/>
        <v>9</v>
      </c>
      <c r="H34" s="9">
        <v>-4</v>
      </c>
      <c r="I34" s="9">
        <f t="shared" si="2"/>
        <v>5</v>
      </c>
      <c r="J34" s="9">
        <f t="shared" si="3"/>
        <v>10240</v>
      </c>
      <c r="K34" s="5"/>
      <c r="M34" s="2" t="s">
        <v>45</v>
      </c>
      <c r="O34" s="30">
        <v>25</v>
      </c>
      <c r="P34" s="30">
        <v>4097</v>
      </c>
    </row>
    <row r="35" spans="2:16">
      <c r="B35" s="5">
        <v>15</v>
      </c>
      <c r="C35" s="9" t="s">
        <v>54</v>
      </c>
      <c r="D35" s="11">
        <v>17</v>
      </c>
      <c r="E35" s="10"/>
      <c r="F35" s="9"/>
      <c r="G35" s="9"/>
      <c r="H35" s="9"/>
      <c r="I35" s="9"/>
      <c r="J35" s="9">
        <f>D35*2^B35</f>
        <v>557056</v>
      </c>
      <c r="K35" s="5"/>
      <c r="M35" s="2"/>
      <c r="O35" s="30">
        <v>26</v>
      </c>
      <c r="P35" s="30">
        <v>4101</v>
      </c>
    </row>
    <row r="36" spans="2:16">
      <c r="B36" s="5">
        <v>20</v>
      </c>
      <c r="C36" s="9" t="s">
        <v>55</v>
      </c>
      <c r="D36" s="11">
        <v>5</v>
      </c>
      <c r="E36" s="10"/>
      <c r="F36" s="9"/>
      <c r="G36" s="9"/>
      <c r="H36" s="9"/>
      <c r="I36" s="9"/>
      <c r="J36" s="9">
        <f>D36*2^B36</f>
        <v>5242880</v>
      </c>
      <c r="K36" s="5" t="str">
        <f>DEC2HEX(SUM(J31:J36),8)</f>
        <v>0058A84C</v>
      </c>
      <c r="M36" s="2"/>
      <c r="O36" s="1">
        <v>27</v>
      </c>
      <c r="P36" s="1">
        <v>4113</v>
      </c>
    </row>
    <row r="37" spans="2:16">
      <c r="M37" s="2"/>
      <c r="O37" s="1">
        <v>28</v>
      </c>
      <c r="P37" s="1">
        <v>4117</v>
      </c>
    </row>
    <row r="38" spans="2:16">
      <c r="B38" s="6" t="s">
        <v>2</v>
      </c>
      <c r="C38" s="47" t="s">
        <v>10</v>
      </c>
      <c r="D38" s="47"/>
      <c r="E38" s="6" t="s">
        <v>0</v>
      </c>
      <c r="F38" s="3"/>
      <c r="G38" s="3"/>
      <c r="H38" s="3"/>
      <c r="I38" s="3"/>
      <c r="J38" s="3"/>
      <c r="K38" s="3"/>
      <c r="M38" s="2"/>
      <c r="O38" s="1">
        <v>29</v>
      </c>
      <c r="P38" s="1">
        <v>4129</v>
      </c>
    </row>
    <row r="39" spans="2:16">
      <c r="B39" s="5">
        <v>12</v>
      </c>
      <c r="C39" s="48" t="s">
        <v>9</v>
      </c>
      <c r="D39" s="49"/>
      <c r="E39" s="21">
        <v>40</v>
      </c>
      <c r="F39" s="4"/>
      <c r="G39" s="3"/>
      <c r="H39" s="3"/>
      <c r="I39" s="3"/>
      <c r="J39" s="3"/>
      <c r="K39" s="3">
        <f>ROUNDUP(240/E39-1,0)</f>
        <v>5</v>
      </c>
      <c r="M39" s="2" t="str">
        <f>"DRAM_PadTermParam:              .word   0x000200"&amp;DEC2HEX(SUM(1*2^1,K42*2^B42,K43*2^B43,K44*2^B44))</f>
        <v>DRAM_PadTermParam:              .word   0x0002007E</v>
      </c>
      <c r="O39" s="1">
        <v>30</v>
      </c>
      <c r="P39" s="1">
        <v>4133</v>
      </c>
    </row>
    <row r="40" spans="2:16">
      <c r="B40" s="5">
        <v>15</v>
      </c>
      <c r="C40" s="48" t="s">
        <v>8</v>
      </c>
      <c r="D40" s="49"/>
      <c r="E40" s="21" t="s">
        <v>5</v>
      </c>
      <c r="F40" s="4"/>
      <c r="G40" s="3"/>
      <c r="H40" s="3"/>
      <c r="I40" s="3"/>
      <c r="J40" s="3"/>
      <c r="K40" s="3">
        <f>IF(E40="Disable",1,0)</f>
        <v>0</v>
      </c>
      <c r="M40" s="2"/>
      <c r="O40" s="1">
        <v>31</v>
      </c>
      <c r="P40" s="1">
        <v>4145</v>
      </c>
    </row>
    <row r="41" spans="2:16">
      <c r="B41" s="5">
        <v>17</v>
      </c>
      <c r="C41" s="48" t="s">
        <v>7</v>
      </c>
      <c r="D41" s="49"/>
      <c r="E41" s="21">
        <v>80</v>
      </c>
      <c r="F41" s="4"/>
      <c r="G41" s="3"/>
      <c r="H41" s="3"/>
      <c r="I41" s="3"/>
      <c r="J41" s="3"/>
      <c r="K41" s="3">
        <f>ROUNDUP(240/E41,0)</f>
        <v>3</v>
      </c>
      <c r="M41" s="2" t="str">
        <f>"DRAM_PadTerm3Param:             .word   0x007"&amp;DEC2HEX(SUM(K39*2^B39,1*2^16,K40*2^B40,K41*2^B41))</f>
        <v>DRAM_PadTerm3Param:             .word   0x00775000</v>
      </c>
      <c r="O41" s="1">
        <v>32</v>
      </c>
      <c r="P41" s="1">
        <v>4149</v>
      </c>
    </row>
    <row r="42" spans="2:16">
      <c r="B42" s="5">
        <v>0</v>
      </c>
      <c r="C42" s="48" t="s">
        <v>6</v>
      </c>
      <c r="D42" s="49"/>
      <c r="E42" s="21" t="s">
        <v>5</v>
      </c>
      <c r="F42" s="4"/>
      <c r="G42" s="3"/>
      <c r="H42" s="3"/>
      <c r="I42" s="3"/>
      <c r="J42" s="3"/>
      <c r="K42" s="3">
        <f>IF(E42="Disable",1,0)</f>
        <v>0</v>
      </c>
      <c r="M42" s="2"/>
    </row>
    <row r="43" spans="2:16">
      <c r="B43" s="8">
        <v>2</v>
      </c>
      <c r="C43" s="48" t="s">
        <v>4</v>
      </c>
      <c r="D43" s="49"/>
      <c r="E43" s="21">
        <v>30</v>
      </c>
      <c r="F43" s="4"/>
      <c r="G43" s="3"/>
      <c r="H43" s="3"/>
      <c r="I43" s="3"/>
      <c r="J43" s="3"/>
      <c r="K43" s="3">
        <f>ROUNDUP(240/E43-1,0)</f>
        <v>7</v>
      </c>
      <c r="M43" s="2"/>
    </row>
    <row r="44" spans="2:16">
      <c r="B44" s="8">
        <v>5</v>
      </c>
      <c r="C44" s="48" t="s">
        <v>3</v>
      </c>
      <c r="D44" s="49"/>
      <c r="E44" s="21">
        <v>80</v>
      </c>
      <c r="F44" s="4"/>
      <c r="G44" s="3"/>
      <c r="H44" s="3"/>
      <c r="I44" s="3"/>
      <c r="J44" s="3"/>
      <c r="K44" s="3">
        <f>ROUNDUP(240/E44,0)</f>
        <v>3</v>
      </c>
      <c r="M44" s="2"/>
      <c r="O44" s="1">
        <v>10</v>
      </c>
      <c r="P44" s="1">
        <v>0</v>
      </c>
    </row>
    <row r="45" spans="2:16">
      <c r="B45" s="7"/>
      <c r="C45" s="7"/>
      <c r="D45" s="7"/>
      <c r="E45" s="7"/>
      <c r="M45" s="2"/>
      <c r="O45" s="1">
        <v>12</v>
      </c>
      <c r="P45" s="1">
        <v>1</v>
      </c>
    </row>
    <row r="46" spans="2:16">
      <c r="B46" s="6" t="s">
        <v>2</v>
      </c>
      <c r="C46" s="47" t="s">
        <v>1</v>
      </c>
      <c r="D46" s="47"/>
      <c r="E46" s="6" t="s">
        <v>0</v>
      </c>
      <c r="F46" s="3"/>
      <c r="G46" s="3"/>
      <c r="H46" s="3"/>
      <c r="I46" s="3"/>
      <c r="J46" s="3"/>
      <c r="K46" s="3"/>
      <c r="M46" s="2"/>
      <c r="O46" s="1">
        <v>14</v>
      </c>
      <c r="P46" s="1">
        <v>2</v>
      </c>
    </row>
    <row r="47" spans="2:16">
      <c r="B47" s="5">
        <v>1</v>
      </c>
      <c r="C47" s="48" t="s">
        <v>58</v>
      </c>
      <c r="D47" s="49"/>
      <c r="E47" s="21" t="s">
        <v>60</v>
      </c>
      <c r="F47" s="4"/>
      <c r="G47" s="3"/>
      <c r="H47" s="3"/>
      <c r="I47" s="3"/>
      <c r="J47" s="3"/>
      <c r="K47" s="3">
        <f>IF(E47="RZQ/7(34ohm)",0,1)</f>
        <v>1</v>
      </c>
      <c r="M47" s="2"/>
      <c r="O47" s="1">
        <v>16</v>
      </c>
      <c r="P47" s="1">
        <v>3</v>
      </c>
    </row>
    <row r="48" spans="2:16">
      <c r="B48" s="5">
        <v>8</v>
      </c>
      <c r="C48" s="48" t="s">
        <v>59</v>
      </c>
      <c r="D48" s="49"/>
      <c r="E48" s="21" t="s">
        <v>61</v>
      </c>
      <c r="F48" s="4"/>
      <c r="G48" s="3"/>
      <c r="H48" s="3"/>
      <c r="I48" s="3"/>
      <c r="J48" s="3"/>
      <c r="K48" s="3">
        <f>IF(E48="RZQ/7",7,IF(E48="RZQ/3",6,IF(E48="RZQ/5",5,IF(E48="RZQ/1",4,IF(E48="RZQ/6",3,IF(E48="RZQ/2",2,IF(E48="RZQ/4",1,0)))))))</f>
        <v>5</v>
      </c>
      <c r="M48" s="2"/>
      <c r="O48" s="1">
        <v>18</v>
      </c>
      <c r="P48" s="1">
        <v>4</v>
      </c>
    </row>
    <row r="49" spans="2:16">
      <c r="O49" s="1">
        <v>24</v>
      </c>
      <c r="P49" s="1">
        <v>6</v>
      </c>
    </row>
    <row r="50" spans="2:16">
      <c r="O50" s="1">
        <v>22</v>
      </c>
      <c r="P50" s="1">
        <v>7</v>
      </c>
    </row>
    <row r="51" spans="2:16">
      <c r="O51" s="1">
        <v>26</v>
      </c>
      <c r="P51" s="1">
        <v>16</v>
      </c>
    </row>
    <row r="52" spans="2:16">
      <c r="E52" s="43"/>
    </row>
    <row r="53" spans="2:16">
      <c r="E53" s="43"/>
    </row>
    <row r="54" spans="2:16">
      <c r="B54" s="30"/>
      <c r="C54" s="31"/>
      <c r="D54" s="31"/>
      <c r="E54" s="44"/>
      <c r="J54" s="30"/>
    </row>
    <row r="55" spans="2:16">
      <c r="B55" s="30"/>
      <c r="C55" s="32"/>
      <c r="D55" s="32"/>
      <c r="E55" s="45"/>
      <c r="J55" s="30"/>
    </row>
    <row r="56" spans="2:16">
      <c r="B56" s="30"/>
      <c r="C56" s="33"/>
      <c r="D56" s="32"/>
      <c r="E56" s="46"/>
      <c r="J56" s="30"/>
    </row>
    <row r="57" spans="2:16">
      <c r="B57" s="30"/>
      <c r="C57" s="34"/>
      <c r="D57" s="32"/>
      <c r="E57" s="46"/>
      <c r="J57" s="30"/>
    </row>
    <row r="58" spans="2:16">
      <c r="B58" s="30"/>
      <c r="C58" s="32"/>
      <c r="D58" s="32"/>
      <c r="E58" s="46"/>
      <c r="J58" s="30"/>
    </row>
    <row r="59" spans="2:16">
      <c r="B59" s="30"/>
      <c r="C59" s="32"/>
      <c r="D59" s="32"/>
      <c r="E59" s="46"/>
      <c r="J59" s="30"/>
    </row>
    <row r="60" spans="2:16">
      <c r="B60" s="30"/>
      <c r="C60" s="34"/>
      <c r="D60" s="32"/>
      <c r="E60" s="46"/>
      <c r="J60" s="30"/>
    </row>
    <row r="61" spans="2:16">
      <c r="B61" s="30"/>
      <c r="C61" s="32"/>
      <c r="D61" s="32"/>
      <c r="E61" s="45"/>
      <c r="J61" s="30"/>
    </row>
    <row r="62" spans="2:16">
      <c r="B62" s="30"/>
      <c r="C62" s="34"/>
      <c r="D62" s="32"/>
      <c r="E62" s="46"/>
      <c r="J62" s="30"/>
    </row>
    <row r="63" spans="2:16">
      <c r="B63" s="30"/>
      <c r="C63" s="32"/>
      <c r="D63" s="32"/>
      <c r="E63" s="44"/>
      <c r="J63" s="30"/>
    </row>
    <row r="64" spans="2:16">
      <c r="B64" s="30"/>
      <c r="C64" s="34"/>
      <c r="D64" s="32"/>
      <c r="E64" s="44"/>
      <c r="J64" s="30"/>
    </row>
    <row r="65" spans="2:10">
      <c r="B65" s="30"/>
      <c r="C65" s="34"/>
      <c r="D65" s="32"/>
      <c r="E65" s="45"/>
      <c r="J65" s="30"/>
    </row>
    <row r="66" spans="2:10">
      <c r="B66" s="30"/>
      <c r="C66" s="32"/>
      <c r="D66" s="32"/>
      <c r="E66" s="46"/>
      <c r="J66" s="30"/>
    </row>
    <row r="67" spans="2:10">
      <c r="B67" s="30"/>
      <c r="C67" s="32"/>
      <c r="D67" s="32"/>
      <c r="E67" s="46"/>
      <c r="J67" s="30"/>
    </row>
    <row r="68" spans="2:10">
      <c r="B68" s="30"/>
      <c r="C68" s="34"/>
      <c r="D68" s="32"/>
      <c r="E68" s="46"/>
      <c r="J68" s="30"/>
    </row>
    <row r="69" spans="2:10">
      <c r="B69" s="30"/>
      <c r="C69" s="30"/>
      <c r="D69" s="30"/>
      <c r="E69" s="42"/>
      <c r="J69" s="30"/>
    </row>
    <row r="70" spans="2:10">
      <c r="E70" s="41"/>
    </row>
    <row r="71" spans="2:10">
      <c r="E71" s="41"/>
    </row>
    <row r="72" spans="2:10">
      <c r="E72" s="41"/>
    </row>
    <row r="73" spans="2:10">
      <c r="E73" s="41"/>
    </row>
    <row r="74" spans="2:10">
      <c r="E74" s="41"/>
    </row>
    <row r="75" spans="2:10">
      <c r="E75" s="41"/>
    </row>
  </sheetData>
  <mergeCells count="11">
    <mergeCell ref="C46:D46"/>
    <mergeCell ref="C47:D47"/>
    <mergeCell ref="C48:D48"/>
    <mergeCell ref="B3:B4"/>
    <mergeCell ref="C39:D39"/>
    <mergeCell ref="C41:D41"/>
    <mergeCell ref="C43:D43"/>
    <mergeCell ref="C44:D44"/>
    <mergeCell ref="C38:D38"/>
    <mergeCell ref="C40:D40"/>
    <mergeCell ref="C42:D42"/>
  </mergeCells>
  <phoneticPr fontId="3" type="noConversion"/>
  <dataValidations count="8">
    <dataValidation type="list" allowBlank="1" showInputMessage="1" showErrorMessage="1" sqref="E39 E43">
      <formula1>"240,120,80,60,48,40,34.3,30"</formula1>
    </dataValidation>
    <dataValidation type="list" allowBlank="1" showInputMessage="1" showErrorMessage="1" sqref="E41 E44">
      <formula1>"240,120,80,60,48,40,34.3"</formula1>
    </dataValidation>
    <dataValidation type="list" allowBlank="1" showInputMessage="1" showErrorMessage="1" sqref="G4">
      <formula1>"2,4"</formula1>
    </dataValidation>
    <dataValidation type="list" allowBlank="1" showInputMessage="1" showErrorMessage="1" sqref="H4 E40 E42">
      <formula1>"Enable,Disable"</formula1>
    </dataValidation>
    <dataValidation type="list" allowBlank="1" showInputMessage="1" showErrorMessage="1" sqref="F4">
      <formula1>"32,16"</formula1>
    </dataValidation>
    <dataValidation type="list" allowBlank="1" showInputMessage="1" showErrorMessage="1" sqref="E4">
      <formula1>"4,8,16"</formula1>
    </dataValidation>
    <dataValidation type="list" allowBlank="1" showInputMessage="1" showErrorMessage="1" sqref="E47">
      <formula1>"RZQ/7(34ohm),RZQ/5(48ohm)"</formula1>
    </dataValidation>
    <dataValidation type="list" allowBlank="1" showInputMessage="1" showErrorMessage="1" sqref="E48">
      <formula1>"Disable,RZQ/4,RZQ/2,RZQ/6,RZQ/1,RZQ/5,RZQ/3,RZQ/7"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DramConfig_DDR4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(Yueh-Ju) Tai</dc:creator>
  <cp:lastModifiedBy>Roger (Rong-Jyh) Kang</cp:lastModifiedBy>
  <dcterms:created xsi:type="dcterms:W3CDTF">2019-11-01T07:16:51Z</dcterms:created>
  <dcterms:modified xsi:type="dcterms:W3CDTF">2021-06-17T04:15:54Z</dcterms:modified>
</cp:coreProperties>
</file>