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dk8\system\rtos\cortex_a\tools\Lpddr4_DramConfig\"/>
    </mc:Choice>
  </mc:AlternateContent>
  <bookViews>
    <workbookView xWindow="480" yWindow="135" windowWidth="27795" windowHeight="12555"/>
  </bookViews>
  <sheets>
    <sheet name="DramConfig_LPDDR4" sheetId="1" r:id="rId1"/>
    <sheet name="Revision" sheetId="3" r:id="rId2"/>
    <sheet name="Clk_Setting" sheetId="2" r:id="rId3"/>
  </sheets>
  <calcPr calcId="162913"/>
</workbook>
</file>

<file path=xl/calcChain.xml><?xml version="1.0" encoding="utf-8"?>
<calcChain xmlns="http://schemas.openxmlformats.org/spreadsheetml/2006/main">
  <c r="M47" i="1" l="1"/>
  <c r="M46" i="1"/>
  <c r="D16" i="1" l="1"/>
  <c r="M18" i="1" l="1"/>
  <c r="M4" i="1"/>
  <c r="M13" i="1" l="1"/>
  <c r="M12" i="1"/>
  <c r="M10" i="1"/>
  <c r="M51" i="1"/>
  <c r="M50" i="1"/>
  <c r="M49" i="1"/>
  <c r="M48" i="1"/>
  <c r="K46" i="1"/>
  <c r="K45" i="1"/>
  <c r="K44" i="1"/>
  <c r="K43" i="1"/>
  <c r="K42" i="1"/>
  <c r="K41" i="1"/>
  <c r="K40" i="1"/>
  <c r="K39" i="1"/>
  <c r="K38" i="1"/>
  <c r="F38" i="1"/>
  <c r="K37" i="1"/>
  <c r="F37" i="1"/>
  <c r="K36" i="1"/>
  <c r="F36" i="1"/>
  <c r="B36" i="1"/>
  <c r="M35" i="1"/>
  <c r="K35" i="1"/>
  <c r="F35" i="1"/>
  <c r="B35" i="1"/>
  <c r="K34" i="1"/>
  <c r="F34" i="1"/>
  <c r="B34" i="1"/>
  <c r="M37" i="1" s="1"/>
  <c r="K33" i="1"/>
  <c r="F33" i="1"/>
  <c r="K32" i="1"/>
  <c r="F32" i="1"/>
  <c r="B32" i="1"/>
  <c r="M31" i="1"/>
  <c r="K31" i="1"/>
  <c r="F31" i="1"/>
  <c r="B31" i="1"/>
  <c r="M32" i="1" l="1"/>
  <c r="M36" i="1"/>
  <c r="M33" i="1"/>
  <c r="D4" i="1" l="1"/>
  <c r="F9" i="1" s="1"/>
  <c r="G9" i="1" s="1"/>
  <c r="I9" i="1" s="1"/>
  <c r="J9" i="1" s="1"/>
  <c r="M8" i="1"/>
  <c r="M9" i="1"/>
  <c r="D11" i="1"/>
  <c r="M15" i="1"/>
  <c r="D17" i="1"/>
  <c r="J17" i="1" s="1"/>
  <c r="D18" i="1"/>
  <c r="J18" i="1" s="1"/>
  <c r="M21" i="1"/>
  <c r="M22" i="1"/>
  <c r="F23" i="1"/>
  <c r="G23" i="1" s="1"/>
  <c r="I23" i="1" s="1"/>
  <c r="J23" i="1" s="1"/>
  <c r="D24" i="1"/>
  <c r="J27" i="1"/>
  <c r="D28" i="1"/>
  <c r="J28" i="1" s="1"/>
  <c r="K49" i="1"/>
  <c r="K50" i="1"/>
  <c r="K51" i="1"/>
  <c r="F11" i="1" l="1"/>
  <c r="G11" i="1" s="1"/>
  <c r="I11" i="1" s="1"/>
  <c r="J11" i="1" s="1"/>
  <c r="F20" i="1"/>
  <c r="G20" i="1" s="1"/>
  <c r="I20" i="1" s="1"/>
  <c r="J20" i="1" s="1"/>
  <c r="K21" i="1" s="1"/>
  <c r="F15" i="1"/>
  <c r="G15" i="1" s="1"/>
  <c r="F14" i="1"/>
  <c r="G14" i="1" s="1"/>
  <c r="I14" i="1" s="1"/>
  <c r="J14" i="1" s="1"/>
  <c r="F8" i="1"/>
  <c r="G8" i="1" s="1"/>
  <c r="I8" i="1" s="1"/>
  <c r="J8" i="1" s="1"/>
  <c r="I15" i="1"/>
  <c r="J15" i="1" s="1"/>
  <c r="F16" i="1"/>
  <c r="G16" i="1" s="1"/>
  <c r="I16" i="1" s="1"/>
  <c r="J16" i="1" s="1"/>
  <c r="F10" i="1"/>
  <c r="G10" i="1" s="1"/>
  <c r="I10" i="1" s="1"/>
  <c r="J10" i="1" s="1"/>
  <c r="D26" i="1"/>
  <c r="J26" i="1" s="1"/>
  <c r="F25" i="1"/>
  <c r="G25" i="1" s="1"/>
  <c r="I25" i="1" s="1"/>
  <c r="J25" i="1" s="1"/>
  <c r="F24" i="1"/>
  <c r="G24" i="1" s="1"/>
  <c r="I24" i="1" s="1"/>
  <c r="J24" i="1" s="1"/>
  <c r="F12" i="1"/>
  <c r="G12" i="1" s="1"/>
  <c r="I12" i="1" s="1"/>
  <c r="J12" i="1" s="1"/>
  <c r="M20" i="1" l="1"/>
  <c r="M19" i="1"/>
  <c r="K28" i="1"/>
  <c r="K12" i="1"/>
  <c r="K18" i="1"/>
  <c r="M11" i="1" s="1"/>
</calcChain>
</file>

<file path=xl/comments1.xml><?xml version="1.0" encoding="utf-8"?>
<comments xmlns="http://schemas.openxmlformats.org/spreadsheetml/2006/main">
  <authors>
    <author>Emily (Yueh-Ju) Tai</author>
  </authors>
  <commentList>
    <comment ref="B3" authorId="0" shapeId="0">
      <text>
        <r>
          <rPr>
            <sz val="11"/>
            <color indexed="81"/>
            <rFont val="Calibri"/>
            <family val="2"/>
          </rPr>
          <t>According to dram spec which you used, please fill up these blanks.</t>
        </r>
      </text>
    </comment>
    <comment ref="E3" authorId="0" shapeId="0">
      <text>
        <r>
          <rPr>
            <sz val="11"/>
            <color indexed="81"/>
            <rFont val="Calibri"/>
            <family val="2"/>
            <scheme val="minor"/>
          </rPr>
          <t xml:space="preserve">How to configure DRAM Size?
Please check chip select pins.
1. Only CS0_A/B
     - set </t>
        </r>
        <r>
          <rPr>
            <b/>
            <sz val="11"/>
            <color indexed="81"/>
            <rFont val="Calibri"/>
            <family val="2"/>
            <scheme val="minor"/>
          </rPr>
          <t>total</t>
        </r>
        <r>
          <rPr>
            <sz val="11"/>
            <color indexed="81"/>
            <rFont val="Calibri"/>
            <family val="2"/>
            <scheme val="minor"/>
          </rPr>
          <t xml:space="preserve"> </t>
        </r>
        <r>
          <rPr>
            <b/>
            <sz val="11"/>
            <color indexed="81"/>
            <rFont val="Calibri"/>
            <family val="2"/>
            <scheme val="minor"/>
          </rPr>
          <t>DRAM size</t>
        </r>
        <r>
          <rPr>
            <sz val="11"/>
            <color indexed="81"/>
            <rFont val="Calibri"/>
            <family val="2"/>
            <scheme val="minor"/>
          </rPr>
          <t xml:space="preserve">
2. Both CS0_A/B and CS1_A/B
     - set </t>
        </r>
        <r>
          <rPr>
            <b/>
            <sz val="11"/>
            <color indexed="81"/>
            <rFont val="Calibri"/>
            <family val="2"/>
            <scheme val="minor"/>
          </rPr>
          <t>total DRAM size/2</t>
        </r>
        <r>
          <rPr>
            <sz val="11"/>
            <color indexed="81"/>
            <rFont val="Calibri"/>
            <family val="2"/>
            <scheme val="minor"/>
          </rPr>
          <t xml:space="preserve"> (aka. Per die size)</t>
        </r>
      </text>
    </comment>
    <comment ref="G3" authorId="0" shapeId="0">
      <text>
        <r>
          <rPr>
            <b/>
            <sz val="11"/>
            <color indexed="81"/>
            <rFont val="Calibri"/>
            <family val="2"/>
            <scheme val="minor"/>
          </rPr>
          <t>Please fill total page size.</t>
        </r>
        <r>
          <rPr>
            <sz val="11"/>
            <color indexed="81"/>
            <rFont val="Calibri"/>
            <family val="2"/>
            <scheme val="minor"/>
          </rPr>
          <t xml:space="preserve">
Page size = 2^COLBITS × ORG/8, where COLBIT = the number of column address bits and ORG = the number of DQ bits.
E.g : 
</t>
        </r>
        <r>
          <rPr>
            <b/>
            <sz val="11"/>
            <color indexed="81"/>
            <rFont val="Calibri"/>
            <family val="2"/>
            <scheme val="minor"/>
          </rPr>
          <t>x32 DQ bits : page size = 4KB
x16 DQ bits : page size = 2KB</t>
        </r>
        <r>
          <rPr>
            <sz val="11"/>
            <color indexed="81"/>
            <rFont val="Calibri"/>
            <family val="2"/>
            <scheme val="minor"/>
          </rPr>
          <t xml:space="preserve">
Noted : DRAM datasheet usually shows page size in x16(per die or channel)
If you use x32 DRAM(dual die or dual channel), the total page size needs to be double of the page size which datasheet mentioned.</t>
        </r>
      </text>
    </comment>
    <comment ref="H3" authorId="0" shapeId="0">
      <text>
        <r>
          <rPr>
            <sz val="9"/>
            <color indexed="81"/>
            <rFont val="Tahoma"/>
            <family val="2"/>
          </rPr>
          <t xml:space="preserve">Set by DRAM_Ctrl bit[7] 
: 1 (high skew mode/LPDDR4 recommend)
: 0 (sync mode)
</t>
        </r>
      </text>
    </comment>
    <comment ref="I3" authorId="0" shapeId="0">
      <text>
        <r>
          <rPr>
            <sz val="9"/>
            <color indexed="81"/>
            <rFont val="Tahoma"/>
            <family val="2"/>
          </rPr>
          <t>Select the chip to generate the parameter:
CV2x: CV2/CV22/CV25/CV28/H32
CV2xFS: CV2FS/CV22FS</t>
        </r>
      </text>
    </comment>
    <comment ref="C4" authorId="0" shapeId="0">
      <text>
        <r>
          <rPr>
            <sz val="11"/>
            <color indexed="81"/>
            <rFont val="Calibri"/>
            <family val="2"/>
          </rPr>
          <t>The dram frequency must be the multiple of 12.</t>
        </r>
        <r>
          <rPr>
            <sz val="9"/>
            <color indexed="81"/>
            <rFont val="Tahoma"/>
            <family val="2"/>
          </rPr>
          <t xml:space="preserve">
</t>
        </r>
      </text>
    </comment>
    <comment ref="D7" authorId="0" shapeId="0">
      <text>
        <r>
          <rPr>
            <sz val="11"/>
            <color indexed="81"/>
            <rFont val="Calibri"/>
            <family val="2"/>
          </rPr>
          <t>Refer to Micron LPDDR4 spec</t>
        </r>
      </text>
    </comment>
    <comment ref="E7" authorId="0" shapeId="0">
      <text>
        <r>
          <rPr>
            <sz val="11"/>
            <color indexed="81"/>
            <rFont val="Calibri"/>
            <family val="2"/>
          </rPr>
          <t>According to dram spec which you used, please fill up these blanks.</t>
        </r>
        <r>
          <rPr>
            <sz val="9"/>
            <color indexed="81"/>
            <rFont val="Tahoma"/>
            <family val="2"/>
          </rPr>
          <t xml:space="preserve">
</t>
        </r>
      </text>
    </comment>
    <comment ref="D10" authorId="0" shapeId="0">
      <text>
        <r>
          <rPr>
            <sz val="11"/>
            <color indexed="81"/>
            <rFont val="Calibri"/>
            <family val="2"/>
          </rPr>
          <t>tRPab</t>
        </r>
      </text>
    </comment>
    <comment ref="D11" authorId="0" shapeId="0">
      <text>
        <r>
          <rPr>
            <sz val="11"/>
            <color indexed="81"/>
            <rFont val="Calibri"/>
            <family val="2"/>
          </rPr>
          <t>= tRAS + tRPab</t>
        </r>
      </text>
    </comment>
    <comment ref="D16" authorId="0" shapeId="0">
      <text>
        <r>
          <rPr>
            <sz val="11"/>
            <color indexed="81"/>
            <rFont val="Calibri"/>
            <family val="2"/>
          </rPr>
          <t>tRFCab 
Note: the rule of DRAM Vendor may be different, please refer to DRAM datasheet.</t>
        </r>
      </text>
    </comment>
    <comment ref="D17" authorId="0" shapeId="0">
      <text>
        <r>
          <rPr>
            <sz val="11"/>
            <color indexed="81"/>
            <rFont val="Calibri"/>
            <family val="2"/>
          </rPr>
          <t>Please refer to MR2</t>
        </r>
      </text>
    </comment>
    <comment ref="D18" authorId="0" shapeId="0">
      <text>
        <r>
          <rPr>
            <sz val="11"/>
            <color indexed="81"/>
            <rFont val="Calibri"/>
            <family val="2"/>
          </rPr>
          <t>Please refer to MR2</t>
        </r>
      </text>
    </comment>
    <comment ref="D24" authorId="0" shapeId="0">
      <text>
        <r>
          <rPr>
            <sz val="11"/>
            <color indexed="81"/>
            <rFont val="Calibri"/>
            <family val="2"/>
          </rPr>
          <t>= tRFCab + 7.5ns</t>
        </r>
        <r>
          <rPr>
            <sz val="9"/>
            <color indexed="81"/>
            <rFont val="Tahoma"/>
            <family val="2"/>
          </rPr>
          <t xml:space="preserve">
</t>
        </r>
      </text>
    </comment>
    <comment ref="E49" authorId="0" shapeId="0">
      <text>
        <r>
          <rPr>
            <sz val="11"/>
            <color indexed="81"/>
            <rFont val="Calibri"/>
            <family val="2"/>
          </rPr>
          <t>Please refer to the following MR3 table</t>
        </r>
      </text>
    </comment>
    <comment ref="E50" authorId="0" shapeId="0">
      <text>
        <r>
          <rPr>
            <sz val="11"/>
            <color indexed="81"/>
            <rFont val="Calibri"/>
            <family val="2"/>
          </rPr>
          <t>Please refer to the following MR11 table</t>
        </r>
      </text>
    </comment>
    <comment ref="E51" authorId="0" shapeId="0">
      <text>
        <r>
          <rPr>
            <sz val="11"/>
            <color indexed="81"/>
            <rFont val="Calibri"/>
            <family val="2"/>
          </rPr>
          <t>Please refer to the following MR11 table</t>
        </r>
      </text>
    </comment>
  </commentList>
</comments>
</file>

<file path=xl/sharedStrings.xml><?xml version="1.0" encoding="utf-8"?>
<sst xmlns="http://schemas.openxmlformats.org/spreadsheetml/2006/main" count="147" uniqueCount="129">
  <si>
    <t>According to DRAM frequency to select RL and WL</t>
    <phoneticPr fontId="2" type="noConversion"/>
  </si>
  <si>
    <t>Note</t>
    <phoneticPr fontId="2" type="noConversion"/>
  </si>
  <si>
    <t>JEDEC LPDDR4 ModeRegister</t>
    <phoneticPr fontId="2" type="noConversion"/>
  </si>
  <si>
    <t>RZQ/2</t>
  </si>
  <si>
    <t>CA ODT of MR11</t>
    <phoneticPr fontId="2" type="noConversion"/>
  </si>
  <si>
    <t>RZQ/4</t>
  </si>
  <si>
    <t>DQ ODT of MR11</t>
    <phoneticPr fontId="2" type="noConversion"/>
  </si>
  <si>
    <t>RZQ/6</t>
  </si>
  <si>
    <t>Pull Down Drive Strength of MR3</t>
    <phoneticPr fontId="2" type="noConversion"/>
  </si>
  <si>
    <t>Selection (ohm)</t>
    <phoneticPr fontId="2" type="noConversion"/>
  </si>
  <si>
    <t>IO PHY of DRAM Device</t>
    <phoneticPr fontId="2" type="noConversion"/>
  </si>
  <si>
    <t>Pos</t>
    <phoneticPr fontId="2" type="noConversion"/>
  </si>
  <si>
    <t>Enable</t>
  </si>
  <si>
    <t>IO PHY of DRAM Controller</t>
    <phoneticPr fontId="2" type="noConversion"/>
  </si>
  <si>
    <t>HighSpeed</t>
    <phoneticPr fontId="2" type="noConversion"/>
  </si>
  <si>
    <t>T_OSCO</t>
    <phoneticPr fontId="2" type="noConversion"/>
  </si>
  <si>
    <t>PoweUpCount</t>
    <phoneticPr fontId="2" type="noConversion"/>
  </si>
  <si>
    <t>tWTR</t>
    <phoneticPr fontId="2" type="noConversion"/>
  </si>
  <si>
    <t>tXSR</t>
    <phoneticPr fontId="2" type="noConversion"/>
  </si>
  <si>
    <t>tFAW</t>
    <phoneticPr fontId="2" type="noConversion"/>
  </si>
  <si>
    <t>Timing4</t>
    <phoneticPr fontId="2" type="noConversion"/>
  </si>
  <si>
    <t>/16</t>
    <phoneticPr fontId="2" type="noConversion"/>
  </si>
  <si>
    <t>tREFI</t>
    <phoneticPr fontId="2" type="noConversion"/>
  </si>
  <si>
    <t>Timing3</t>
    <phoneticPr fontId="2" type="noConversion"/>
  </si>
  <si>
    <t>tWL</t>
    <phoneticPr fontId="2" type="noConversion"/>
  </si>
  <si>
    <t>tCL</t>
    <phoneticPr fontId="2" type="noConversion"/>
  </si>
  <si>
    <t>/2</t>
    <phoneticPr fontId="2" type="noConversion"/>
  </si>
  <si>
    <t>tRFC</t>
    <phoneticPr fontId="2" type="noConversion"/>
  </si>
  <si>
    <t>tWR</t>
    <phoneticPr fontId="2" type="noConversion"/>
  </si>
  <si>
    <t>tRTP</t>
    <phoneticPr fontId="2" type="noConversion"/>
  </si>
  <si>
    <t>Timing2</t>
    <phoneticPr fontId="2" type="noConversion"/>
  </si>
  <si>
    <t>tRAS</t>
    <phoneticPr fontId="2" type="noConversion"/>
  </si>
  <si>
    <t>tRC</t>
    <phoneticPr fontId="2" type="noConversion"/>
  </si>
  <si>
    <t>tRP</t>
    <phoneticPr fontId="2" type="noConversion"/>
  </si>
  <si>
    <t>tRCD</t>
    <phoneticPr fontId="2" type="noConversion"/>
  </si>
  <si>
    <t>tRRD</t>
    <phoneticPr fontId="2" type="noConversion"/>
  </si>
  <si>
    <t xml:space="preserve">Dram Setting : </t>
    <phoneticPr fontId="2" type="noConversion"/>
  </si>
  <si>
    <t>Timing1</t>
    <phoneticPr fontId="2" type="noConversion"/>
  </si>
  <si>
    <t>T_</t>
    <phoneticPr fontId="2" type="noConversion"/>
  </si>
  <si>
    <t>Offset</t>
    <phoneticPr fontId="2" type="noConversion"/>
  </si>
  <si>
    <t>RU</t>
    <phoneticPr fontId="2" type="noConversion"/>
  </si>
  <si>
    <t>timing/tck</t>
    <phoneticPr fontId="2" type="noConversion"/>
  </si>
  <si>
    <t>User</t>
    <phoneticPr fontId="2" type="noConversion"/>
  </si>
  <si>
    <t>Refernce Timing
Micron MT53D512M32D2</t>
    <phoneticPr fontId="2" type="noConversion"/>
  </si>
  <si>
    <t>Name</t>
    <phoneticPr fontId="2" type="noConversion"/>
  </si>
  <si>
    <t>DQ Bus Width (bit)</t>
    <phoneticPr fontId="2" type="noConversion"/>
  </si>
  <si>
    <t>Dram Size (Gb)</t>
    <phoneticPr fontId="2" type="noConversion"/>
  </si>
  <si>
    <t>tCK(ps)</t>
    <phoneticPr fontId="2" type="noConversion"/>
  </si>
  <si>
    <t>Freq (MHz)</t>
    <phoneticPr fontId="2" type="noConversion"/>
  </si>
  <si>
    <t>User</t>
    <phoneticPr fontId="2" type="noConversion"/>
  </si>
  <si>
    <t>High Skew mode</t>
  </si>
  <si>
    <t>[1:0] Support BL=16 only</t>
  </si>
  <si>
    <t>[2] Select 1</t>
  </si>
  <si>
    <t>[3] Selet 0  : default value</t>
  </si>
  <si>
    <t>[6:4] nWR = RU(tWR/tCK)</t>
  </si>
  <si>
    <t>[7] High Skew Mode : select 0</t>
  </si>
  <si>
    <t>[7] Sync and Sync tracking : select 1</t>
  </si>
  <si>
    <t>[5:2] RL and WL &gt;&gt;</t>
  </si>
  <si>
    <t>[6] Set A  : default value</t>
  </si>
  <si>
    <t>[7] Disable</t>
  </si>
  <si>
    <t>[0] Set 1  : default value</t>
  </si>
  <si>
    <t>[1] Set 0 : default value</t>
  </si>
  <si>
    <t>[2] Select 0 : default value</t>
  </si>
  <si>
    <t>[5:3] Dram side driving strength</t>
  </si>
  <si>
    <t>[6] Disable</t>
  </si>
  <si>
    <t>[2:0] Dram side DQ ODT</t>
  </si>
  <si>
    <t>[6:4] Dram side CA ODT</t>
  </si>
  <si>
    <t>Description</t>
    <phoneticPr fontId="2" type="noConversion"/>
  </si>
  <si>
    <t>Note</t>
    <phoneticPr fontId="2" type="noConversion"/>
  </si>
  <si>
    <t>/* Cortex, Core, and DDR PLL parameters */</t>
  </si>
  <si>
    <r>
      <t>PLL_CortexCtrlParam:            .word   0x</t>
    </r>
    <r>
      <rPr>
        <sz val="11"/>
        <color rgb="FF008000"/>
        <rFont val="Calibri"/>
        <family val="2"/>
      </rPr>
      <t>14</t>
    </r>
    <r>
      <rPr>
        <sz val="11"/>
        <color theme="1"/>
        <rFont val="Calibri"/>
        <family val="2"/>
      </rPr>
      <t>1</t>
    </r>
    <r>
      <rPr>
        <sz val="11"/>
        <color rgb="FFFF0000"/>
        <rFont val="Calibri"/>
        <family val="2"/>
      </rPr>
      <t>1</t>
    </r>
    <r>
      <rPr>
        <sz val="11"/>
        <color rgb="FF0000FF"/>
        <rFont val="Calibri"/>
        <family val="2"/>
      </rPr>
      <t>2</t>
    </r>
    <r>
      <rPr>
        <sz val="11"/>
        <color theme="1"/>
        <rFont val="Calibri"/>
        <family val="2"/>
      </rPr>
      <t>000</t>
    </r>
  </si>
  <si>
    <r>
      <t>Cortex clk : 756MHz = Ref_clk * (HEX(</t>
    </r>
    <r>
      <rPr>
        <sz val="11"/>
        <color rgb="FF008000"/>
        <rFont val="Calibri"/>
        <family val="2"/>
      </rPr>
      <t>14</t>
    </r>
    <r>
      <rPr>
        <sz val="11"/>
        <color theme="1"/>
        <rFont val="Calibri"/>
        <family val="2"/>
      </rPr>
      <t>)+1)*(</t>
    </r>
    <r>
      <rPr>
        <sz val="11"/>
        <color rgb="FF0000FF"/>
        <rFont val="Calibri"/>
        <family val="2"/>
      </rPr>
      <t>2</t>
    </r>
    <r>
      <rPr>
        <sz val="11"/>
        <color theme="1"/>
        <rFont val="Calibri"/>
        <family val="2"/>
      </rPr>
      <t>+1)/(</t>
    </r>
    <r>
      <rPr>
        <sz val="11"/>
        <color rgb="FFFF0000"/>
        <rFont val="Calibri"/>
        <family val="2"/>
      </rPr>
      <t>1</t>
    </r>
    <r>
      <rPr>
        <sz val="11"/>
        <color theme="1"/>
        <rFont val="Calibri"/>
        <family val="2"/>
      </rPr>
      <t>+1)</t>
    </r>
  </si>
  <si>
    <t>Ref_clk = 24M</t>
    <phoneticPr fontId="2" type="noConversion"/>
  </si>
  <si>
    <t>PLL_CortexCtrl2Param:           .word   0x30520000</t>
  </si>
  <si>
    <t>PLL_Cortex ctrl register</t>
    <phoneticPr fontId="2" type="noConversion"/>
  </si>
  <si>
    <t>PLL_CortexCtrl3Param:           .word   0x00088006</t>
  </si>
  <si>
    <t>VCO range</t>
    <phoneticPr fontId="2" type="noConversion"/>
  </si>
  <si>
    <t>bit[4:0] VCO range can be 2, 4 and 6</t>
    <phoneticPr fontId="2" type="noConversion"/>
  </si>
  <si>
    <t>PLL_CoreCtrlParam:              .word   0x1f111000</t>
  </si>
  <si>
    <t>PLL_CoreCtrl2Param:             .word   0x30520000</t>
  </si>
  <si>
    <t>PLL_CoreCtrl3Param:             .word   0x00088006</t>
  </si>
  <si>
    <r>
      <t>PLL_DdrCtrlParam:               .word   0x1c1</t>
    </r>
    <r>
      <rPr>
        <sz val="11"/>
        <color rgb="FF0000FF"/>
        <rFont val="Calibri"/>
        <family val="2"/>
      </rPr>
      <t>1</t>
    </r>
    <r>
      <rPr>
        <sz val="11"/>
        <color rgb="FFFF0000"/>
        <rFont val="Calibri"/>
        <family val="2"/>
      </rPr>
      <t>7</t>
    </r>
    <r>
      <rPr>
        <sz val="11"/>
        <color theme="1"/>
        <rFont val="Calibri"/>
        <family val="2"/>
      </rPr>
      <t>000</t>
    </r>
  </si>
  <si>
    <r>
      <t>Dram clk  : 1392MHz =  Ref_clk/2 * (HEX(1c)+1)*(</t>
    </r>
    <r>
      <rPr>
        <sz val="11"/>
        <color rgb="FFFF0000"/>
        <rFont val="Calibri"/>
        <family val="2"/>
      </rPr>
      <t>7</t>
    </r>
    <r>
      <rPr>
        <sz val="11"/>
        <color theme="1"/>
        <rFont val="Calibri"/>
        <family val="2"/>
      </rPr>
      <t>+1)/(</t>
    </r>
    <r>
      <rPr>
        <sz val="11"/>
        <color rgb="FF0000FF"/>
        <rFont val="Calibri"/>
        <family val="2"/>
      </rPr>
      <t>1</t>
    </r>
    <r>
      <rPr>
        <sz val="11"/>
        <color theme="1"/>
        <rFont val="Calibri"/>
        <family val="2"/>
      </rPr>
      <t>+1)</t>
    </r>
  </si>
  <si>
    <t>PLL_DdrCtrl2Param:              .word   0x30520000</t>
  </si>
  <si>
    <t>PLL_Ddr ctrl register</t>
    <phoneticPr fontId="2" type="noConversion"/>
  </si>
  <si>
    <t>PLL_DdrCtrl3Param:              .word   0x00088006</t>
  </si>
  <si>
    <t>DRAM ASM : PLL setting</t>
  </si>
  <si>
    <t>System will set the proper clk after kernel boot up</t>
  </si>
  <si>
    <t>Total Page Size (KB)</t>
  </si>
  <si>
    <t>- Add revision history sheet
- Add pull-up driving strength and CA related settings in PadTerm registers
- Add new field "chip" to select for CV2xFS PadTerm settings
- Use lower case to be easy distinguish</t>
  </si>
  <si>
    <t>Revision number</t>
  </si>
  <si>
    <t>Date</t>
  </si>
  <si>
    <t>Description</t>
  </si>
  <si>
    <t>Chip</t>
  </si>
  <si>
    <t>CV2x</t>
  </si>
  <si>
    <t>DQ</t>
    <phoneticPr fontId="2" type="noConversion"/>
  </si>
  <si>
    <t>Pull-down DS of DQ[15:0]</t>
    <phoneticPr fontId="2" type="noConversion"/>
  </si>
  <si>
    <t>Pull-up DS of DQ[15:0]</t>
    <phoneticPr fontId="2" type="noConversion"/>
  </si>
  <si>
    <t>Pull-down DS of DQ[31:16]</t>
    <phoneticPr fontId="2" type="noConversion"/>
  </si>
  <si>
    <t>Pull-up DS of DQ[31:16]</t>
    <phoneticPr fontId="2" type="noConversion"/>
  </si>
  <si>
    <t>ODT switch of DQ[15:0]</t>
    <phoneticPr fontId="2" type="noConversion"/>
  </si>
  <si>
    <t>ODT Level of DQ[15:0]</t>
    <phoneticPr fontId="2" type="noConversion"/>
  </si>
  <si>
    <t>ODT Switch of DQ[31:16]</t>
    <phoneticPr fontId="2" type="noConversion"/>
  </si>
  <si>
    <t>ODT Level of DQ[31:16]</t>
    <phoneticPr fontId="2" type="noConversion"/>
  </si>
  <si>
    <t>CA</t>
    <phoneticPr fontId="2" type="noConversion"/>
  </si>
  <si>
    <t>Pull-down DS of CA_B</t>
  </si>
  <si>
    <t>padterm2[2:0]</t>
    <phoneticPr fontId="2" type="noConversion"/>
  </si>
  <si>
    <t>Typically we don't need to modify CA settings</t>
  </si>
  <si>
    <t>Pull-up DS of CA_B</t>
  </si>
  <si>
    <t>padterm2[14:12]</t>
    <phoneticPr fontId="2" type="noConversion"/>
  </si>
  <si>
    <t>Pull-down DS of CA_A</t>
  </si>
  <si>
    <t>padterm2[18:16]</t>
    <phoneticPr fontId="2" type="noConversion"/>
  </si>
  <si>
    <t>Pull-up DS of CA_A</t>
  </si>
  <si>
    <t>padterm2[26:24]</t>
    <phoneticPr fontId="2" type="noConversion"/>
  </si>
  <si>
    <t>ODT switch of CA_B</t>
  </si>
  <si>
    <t>Disable</t>
  </si>
  <si>
    <t>padterm2[3]</t>
    <phoneticPr fontId="2" type="noConversion"/>
  </si>
  <si>
    <t>CA is uni-direction output, ODT is useless</t>
  </si>
  <si>
    <t>ODT Level of CA_B</t>
  </si>
  <si>
    <t>padterm2[7:5]</t>
    <phoneticPr fontId="2" type="noConversion"/>
  </si>
  <si>
    <t>ODT switch of CA_A</t>
  </si>
  <si>
    <t>padterm2[19]</t>
    <phoneticPr fontId="2" type="noConversion"/>
  </si>
  <si>
    <t>ODT Level of CA_A</t>
  </si>
  <si>
    <t>padterm2[23:21]</t>
    <phoneticPr fontId="2" type="noConversion"/>
  </si>
  <si>
    <t>Register bits</t>
  </si>
  <si>
    <t>Remark</t>
  </si>
  <si>
    <t>- Add notice to highlight High Skew mode should be enabled for CV2xFS.
- Add notice to highlight (CFG_T_WTR + CFG_T_CWL + burst_cycle + 2 ) &lt; 64 for CV2xFS.</t>
  </si>
  <si>
    <t>- Correct tRFC to be calculated by per channel size.</t>
  </si>
  <si>
    <t>- Set OP[1] of LPDDR4 MR3 to have 1.5*tCK WR Post-amble to match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</si>
</sst>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charset val="136"/>
      <scheme val="minor"/>
    </font>
    <font>
      <sz val="11"/>
      <color theme="1"/>
      <name val="Calibri"/>
      <family val="2"/>
    </font>
    <font>
      <sz val="9"/>
      <name val="Calibri"/>
      <family val="2"/>
      <charset val="136"/>
      <scheme val="minor"/>
    </font>
    <font>
      <b/>
      <sz val="11"/>
      <color theme="1"/>
      <name val="Calibri"/>
      <family val="2"/>
    </font>
    <font>
      <sz val="11"/>
      <color indexed="81"/>
      <name val="Calibri"/>
      <family val="2"/>
    </font>
    <font>
      <sz val="9"/>
      <color indexed="81"/>
      <name val="Tahoma"/>
      <family val="2"/>
    </font>
    <font>
      <sz val="11"/>
      <color rgb="FF008000"/>
      <name val="Calibri"/>
      <family val="2"/>
    </font>
    <font>
      <sz val="11"/>
      <color rgb="FFFF0000"/>
      <name val="Calibri"/>
      <family val="2"/>
    </font>
    <font>
      <sz val="11"/>
      <color rgb="FF0000FF"/>
      <name val="Calibri"/>
      <family val="2"/>
    </font>
    <font>
      <sz val="11"/>
      <color indexed="81"/>
      <name val="Calibri"/>
      <family val="2"/>
      <scheme val="minor"/>
    </font>
    <font>
      <b/>
      <sz val="11"/>
      <color indexed="81"/>
      <name val="Calibri"/>
      <family val="2"/>
      <scheme val="minor"/>
    </font>
    <font>
      <sz val="11"/>
      <name val="Calibri"/>
      <family val="2"/>
    </font>
    <font>
      <sz val="1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alignment vertical="center"/>
    </xf>
  </cellStyleXfs>
  <cellXfs count="55">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1" xfId="0" applyFont="1" applyFill="1" applyBorder="1" applyAlignment="1" applyProtection="1">
      <alignment horizontal="center" vertical="center"/>
      <protection hidden="1"/>
    </xf>
    <xf numFmtId="0" fontId="3" fillId="3" borderId="4" xfId="0" applyFont="1" applyFill="1" applyBorder="1" applyAlignment="1">
      <alignment horizontal="center" vertical="center"/>
    </xf>
    <xf numFmtId="0" fontId="1" fillId="0" borderId="5" xfId="0" applyFont="1" applyFill="1" applyBorder="1" applyAlignment="1">
      <alignment vertical="center"/>
    </xf>
    <xf numFmtId="0" fontId="1" fillId="3" borderId="1" xfId="0" applyFont="1" applyFill="1" applyBorder="1" applyAlignment="1">
      <alignment horizontal="center" vertical="center"/>
    </xf>
    <xf numFmtId="0" fontId="1" fillId="3" borderId="1" xfId="0" applyFont="1" applyFill="1" applyBorder="1" applyProtection="1">
      <alignment vertical="center"/>
      <protection hidden="1"/>
    </xf>
    <xf numFmtId="0" fontId="1" fillId="3" borderId="1" xfId="0" applyFont="1" applyFill="1" applyBorder="1" applyAlignment="1" applyProtection="1">
      <alignment vertical="center"/>
      <protection hidden="1"/>
    </xf>
    <xf numFmtId="0" fontId="1" fillId="3" borderId="1" xfId="0" applyFont="1" applyFill="1" applyBorder="1" applyAlignment="1" applyProtection="1">
      <alignment horizontal="right" vertical="center"/>
      <protection hidden="1"/>
    </xf>
    <xf numFmtId="0" fontId="1" fillId="3" borderId="2" xfId="0" applyFont="1" applyFill="1" applyBorder="1" applyProtection="1">
      <alignment vertical="center"/>
      <protection hidden="1"/>
    </xf>
    <xf numFmtId="0" fontId="1" fillId="3" borderId="3" xfId="0" applyFont="1" applyFill="1" applyBorder="1" applyAlignment="1" applyProtection="1">
      <alignment horizontal="right" vertical="center"/>
      <protection hidden="1"/>
    </xf>
    <xf numFmtId="0" fontId="1" fillId="4" borderId="1" xfId="0" applyFont="1" applyFill="1" applyBorder="1" applyProtection="1">
      <alignment vertical="center"/>
      <protection hidden="1"/>
    </xf>
    <xf numFmtId="0" fontId="1" fillId="2" borderId="0" xfId="0" applyFont="1" applyFill="1" applyProtection="1">
      <alignment vertical="center"/>
      <protection hidden="1"/>
    </xf>
    <xf numFmtId="0" fontId="3" fillId="3" borderId="1" xfId="0" applyFont="1" applyFill="1" applyBorder="1" applyAlignment="1" applyProtection="1">
      <alignment horizontal="center" vertical="center"/>
      <protection hidden="1"/>
    </xf>
    <xf numFmtId="0" fontId="1" fillId="3" borderId="6" xfId="0" applyFont="1" applyFill="1" applyBorder="1" applyProtection="1">
      <alignment vertical="center"/>
      <protection hidden="1"/>
    </xf>
    <xf numFmtId="0" fontId="1" fillId="3" borderId="7" xfId="0" applyFont="1" applyFill="1" applyBorder="1" applyAlignment="1" applyProtection="1">
      <alignment horizontal="right" vertical="center"/>
      <protection hidden="1"/>
    </xf>
    <xf numFmtId="0" fontId="1" fillId="0" borderId="0" xfId="0" applyFont="1" applyAlignment="1">
      <alignment vertical="center"/>
    </xf>
    <xf numFmtId="0" fontId="1" fillId="3" borderId="8" xfId="0" applyFont="1" applyFill="1" applyBorder="1" applyProtection="1">
      <alignment vertical="center"/>
      <protection hidden="1"/>
    </xf>
    <xf numFmtId="0" fontId="1" fillId="3" borderId="9" xfId="0" applyFont="1" applyFill="1" applyBorder="1" applyAlignment="1" applyProtection="1">
      <alignment horizontal="right" vertical="center"/>
      <protection hidden="1"/>
    </xf>
    <xf numFmtId="0" fontId="3" fillId="3" borderId="4" xfId="0" applyFont="1" applyFill="1" applyBorder="1" applyAlignment="1" applyProtection="1">
      <alignment horizontal="center" vertical="center"/>
      <protection hidden="1"/>
    </xf>
    <xf numFmtId="0" fontId="3" fillId="3" borderId="1" xfId="0" applyFont="1" applyFill="1" applyBorder="1" applyAlignment="1" applyProtection="1">
      <alignment horizontal="center" vertical="center" wrapText="1"/>
      <protection hidden="1"/>
    </xf>
    <xf numFmtId="0" fontId="1" fillId="0" borderId="0" xfId="0" applyFont="1" applyAlignment="1">
      <alignment horizontal="center" vertical="center"/>
    </xf>
    <xf numFmtId="0" fontId="3" fillId="3" borderId="1" xfId="0" applyFont="1" applyFill="1" applyBorder="1" applyAlignment="1" applyProtection="1">
      <alignment horizontal="center" vertical="center"/>
      <protection hidden="1"/>
    </xf>
    <xf numFmtId="0" fontId="1" fillId="0" borderId="1" xfId="0" applyFont="1" applyFill="1" applyBorder="1" applyAlignment="1" applyProtection="1">
      <alignment horizontal="center" vertical="center"/>
      <protection hidden="1"/>
    </xf>
    <xf numFmtId="0" fontId="1" fillId="4"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xf>
    <xf numFmtId="0" fontId="3" fillId="0" borderId="0" xfId="0" applyFont="1" applyAlignment="1">
      <alignment horizontal="center" vertical="center"/>
    </xf>
    <xf numFmtId="0" fontId="1" fillId="0" borderId="0" xfId="0" applyFont="1" applyAlignment="1">
      <alignment vertical="center" wrapText="1"/>
    </xf>
    <xf numFmtId="0" fontId="3" fillId="3" borderId="4" xfId="0" applyFont="1" applyFill="1" applyBorder="1" applyAlignment="1">
      <alignment horizontal="center" vertical="center"/>
    </xf>
    <xf numFmtId="49" fontId="0" fillId="0" borderId="0" xfId="0" applyNumberFormat="1" applyAlignment="1">
      <alignment vertical="center" wrapText="1"/>
    </xf>
    <xf numFmtId="2" fontId="0" fillId="5" borderId="0" xfId="0" applyNumberFormat="1" applyFill="1" applyAlignment="1">
      <alignment horizontal="center" vertical="center"/>
    </xf>
    <xf numFmtId="0" fontId="0" fillId="5" borderId="0" xfId="0" applyFill="1" applyAlignment="1">
      <alignment horizontal="center" vertical="center"/>
    </xf>
    <xf numFmtId="49" fontId="0" fillId="5" borderId="0" xfId="0" applyNumberFormat="1" applyFill="1" applyAlignment="1">
      <alignment horizontal="center" vertical="center"/>
    </xf>
    <xf numFmtId="2" fontId="0" fillId="0" borderId="0" xfId="0" applyNumberFormat="1" applyAlignment="1">
      <alignment horizontal="center" vertical="center"/>
    </xf>
    <xf numFmtId="14" fontId="0" fillId="0" borderId="0" xfId="0" applyNumberFormat="1" applyAlignment="1">
      <alignment horizontal="center" vertical="center"/>
    </xf>
    <xf numFmtId="0" fontId="11" fillId="3" borderId="1" xfId="0" applyFont="1" applyFill="1" applyBorder="1" applyAlignment="1">
      <alignment horizontal="center" vertical="center"/>
    </xf>
    <xf numFmtId="0" fontId="11" fillId="0" borderId="1" xfId="0" applyFont="1" applyFill="1" applyBorder="1" applyAlignment="1" applyProtection="1">
      <alignment horizontal="center" vertical="center"/>
      <protection hidden="1"/>
    </xf>
    <xf numFmtId="0" fontId="11" fillId="3" borderId="1" xfId="0" applyFont="1" applyFill="1" applyBorder="1">
      <alignment vertical="center"/>
    </xf>
    <xf numFmtId="0" fontId="1" fillId="0" borderId="0" xfId="0" applyFont="1" applyFill="1">
      <alignment vertical="center"/>
    </xf>
    <xf numFmtId="0" fontId="7" fillId="0" borderId="0" xfId="0" applyFont="1" applyAlignment="1">
      <alignment horizontal="left" vertical="top"/>
    </xf>
    <xf numFmtId="0" fontId="7" fillId="0" borderId="0" xfId="0" applyFont="1">
      <alignment vertical="center"/>
    </xf>
    <xf numFmtId="0" fontId="7" fillId="2" borderId="0" xfId="0" applyFont="1" applyFill="1" applyProtection="1">
      <alignment vertical="center"/>
      <protection hidden="1"/>
    </xf>
    <xf numFmtId="0" fontId="1" fillId="0" borderId="1" xfId="0" applyFont="1" applyBorder="1" applyAlignment="1">
      <alignment horizontal="center" vertical="center"/>
    </xf>
    <xf numFmtId="0" fontId="0" fillId="0" borderId="1" xfId="0" applyBorder="1" applyAlignment="1">
      <alignment horizontal="center" vertical="center"/>
    </xf>
    <xf numFmtId="0" fontId="11" fillId="3" borderId="1" xfId="0" applyFont="1" applyFill="1" applyBorder="1" applyAlignment="1" applyProtection="1">
      <alignment horizontal="left" vertical="center"/>
      <protection hidden="1"/>
    </xf>
    <xf numFmtId="0" fontId="11" fillId="3" borderId="3" xfId="0" applyFont="1" applyFill="1" applyBorder="1" applyAlignment="1" applyProtection="1">
      <alignment horizontal="left" vertical="center"/>
      <protection hidden="1"/>
    </xf>
    <xf numFmtId="0" fontId="12" fillId="0" borderId="2" xfId="0" applyFont="1" applyBorder="1" applyAlignment="1">
      <alignment horizontal="left" vertical="center"/>
    </xf>
    <xf numFmtId="0" fontId="1" fillId="3" borderId="1" xfId="0" applyFont="1" applyFill="1" applyBorder="1" applyAlignment="1" applyProtection="1">
      <alignment horizontal="left" vertical="center"/>
      <protection hidden="1"/>
    </xf>
    <xf numFmtId="0" fontId="1" fillId="3" borderId="3" xfId="0" applyFont="1" applyFill="1" applyBorder="1" applyAlignment="1" applyProtection="1">
      <alignment horizontal="left" vertical="center"/>
      <protection hidden="1"/>
    </xf>
    <xf numFmtId="0" fontId="3" fillId="3" borderId="4" xfId="0" applyFont="1" applyFill="1" applyBorder="1" applyAlignment="1">
      <alignment horizontal="center" vertical="center"/>
    </xf>
    <xf numFmtId="0" fontId="3" fillId="3" borderId="1" xfId="0" applyFont="1" applyFill="1" applyBorder="1" applyAlignment="1" applyProtection="1">
      <alignment horizontal="center" vertical="center"/>
      <protection hidden="1"/>
    </xf>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261933</xdr:colOff>
      <xdr:row>54</xdr:row>
      <xdr:rowOff>100017</xdr:rowOff>
    </xdr:from>
    <xdr:ext cx="7400046" cy="5485715"/>
    <xdr:pic>
      <xdr:nvPicPr>
        <xdr:cNvPr id="2" name="Picture 1"/>
        <xdr:cNvPicPr>
          <a:picLocks noChangeAspect="1"/>
        </xdr:cNvPicPr>
      </xdr:nvPicPr>
      <xdr:blipFill>
        <a:blip xmlns:r="http://schemas.openxmlformats.org/officeDocument/2006/relationships" r:embed="rId1"/>
        <a:stretch>
          <a:fillRect/>
        </a:stretch>
      </xdr:blipFill>
      <xdr:spPr>
        <a:xfrm>
          <a:off x="914396" y="8491542"/>
          <a:ext cx="7400046" cy="5485715"/>
        </a:xfrm>
        <a:prstGeom prst="rect">
          <a:avLst/>
        </a:prstGeom>
      </xdr:spPr>
    </xdr:pic>
    <xdr:clientData/>
  </xdr:oneCellAnchor>
  <xdr:oneCellAnchor>
    <xdr:from>
      <xdr:col>1</xdr:col>
      <xdr:colOff>290535</xdr:colOff>
      <xdr:row>86</xdr:row>
      <xdr:rowOff>142875</xdr:rowOff>
    </xdr:from>
    <xdr:ext cx="7400046" cy="9600001"/>
    <xdr:pic>
      <xdr:nvPicPr>
        <xdr:cNvPr id="3" name="Picture 2"/>
        <xdr:cNvPicPr>
          <a:picLocks noChangeAspect="1"/>
        </xdr:cNvPicPr>
      </xdr:nvPicPr>
      <xdr:blipFill>
        <a:blip xmlns:r="http://schemas.openxmlformats.org/officeDocument/2006/relationships" r:embed="rId2"/>
        <a:stretch>
          <a:fillRect/>
        </a:stretch>
      </xdr:blipFill>
      <xdr:spPr>
        <a:xfrm>
          <a:off x="942998" y="14325600"/>
          <a:ext cx="7400046" cy="9600001"/>
        </a:xfrm>
        <a:prstGeom prst="rect">
          <a:avLst/>
        </a:prstGeom>
      </xdr:spPr>
    </xdr:pic>
    <xdr:clientData/>
  </xdr:oneCellAnchor>
  <xdr:oneCellAnchor>
    <xdr:from>
      <xdr:col>1</xdr:col>
      <xdr:colOff>338160</xdr:colOff>
      <xdr:row>140</xdr:row>
      <xdr:rowOff>61920</xdr:rowOff>
    </xdr:from>
    <xdr:ext cx="7390522" cy="5895238"/>
    <xdr:pic>
      <xdr:nvPicPr>
        <xdr:cNvPr id="4" name="Picture 3"/>
        <xdr:cNvPicPr>
          <a:picLocks noChangeAspect="1"/>
        </xdr:cNvPicPr>
      </xdr:nvPicPr>
      <xdr:blipFill>
        <a:blip xmlns:r="http://schemas.openxmlformats.org/officeDocument/2006/relationships" r:embed="rId3"/>
        <a:stretch>
          <a:fillRect/>
        </a:stretch>
      </xdr:blipFill>
      <xdr:spPr>
        <a:xfrm>
          <a:off x="990623" y="24017295"/>
          <a:ext cx="7390522" cy="5895238"/>
        </a:xfrm>
        <a:prstGeom prst="rect">
          <a:avLst/>
        </a:prstGeom>
      </xdr:spPr>
    </xdr:pic>
    <xdr:clientData/>
  </xdr:oneCellAnchor>
  <xdr:oneCellAnchor>
    <xdr:from>
      <xdr:col>1</xdr:col>
      <xdr:colOff>419123</xdr:colOff>
      <xdr:row>173</xdr:row>
      <xdr:rowOff>123825</xdr:rowOff>
    </xdr:from>
    <xdr:ext cx="7342903" cy="5200000"/>
    <xdr:pic>
      <xdr:nvPicPr>
        <xdr:cNvPr id="5" name="Picture 4"/>
        <xdr:cNvPicPr>
          <a:picLocks noChangeAspect="1"/>
        </xdr:cNvPicPr>
      </xdr:nvPicPr>
      <xdr:blipFill>
        <a:blip xmlns:r="http://schemas.openxmlformats.org/officeDocument/2006/relationships" r:embed="rId4"/>
        <a:stretch>
          <a:fillRect/>
        </a:stretch>
      </xdr:blipFill>
      <xdr:spPr>
        <a:xfrm>
          <a:off x="1071586" y="30051375"/>
          <a:ext cx="7342903" cy="5200000"/>
        </a:xfrm>
        <a:prstGeom prst="rect">
          <a:avLst/>
        </a:prstGeom>
      </xdr:spPr>
    </xdr:pic>
    <xdr:clientData/>
  </xdr:oneCellAnchor>
  <xdr:oneCellAnchor>
    <xdr:from>
      <xdr:col>9</xdr:col>
      <xdr:colOff>19050</xdr:colOff>
      <xdr:row>92</xdr:row>
      <xdr:rowOff>40742</xdr:rowOff>
    </xdr:from>
    <xdr:ext cx="7996906" cy="2711394"/>
    <xdr:pic>
      <xdr:nvPicPr>
        <xdr:cNvPr id="6" name="Picture 5"/>
        <xdr:cNvPicPr>
          <a:picLocks noChangeAspect="1"/>
        </xdr:cNvPicPr>
      </xdr:nvPicPr>
      <xdr:blipFill rotWithShape="1">
        <a:blip xmlns:r="http://schemas.openxmlformats.org/officeDocument/2006/relationships" r:embed="rId5"/>
        <a:srcRect t="2888"/>
        <a:stretch/>
      </xdr:blipFill>
      <xdr:spPr>
        <a:xfrm>
          <a:off x="5505450" y="15842717"/>
          <a:ext cx="7996906" cy="2711394"/>
        </a:xfrm>
        <a:prstGeom prst="rect">
          <a:avLst/>
        </a:prstGeom>
      </xdr:spPr>
    </xdr:pic>
    <xdr:clientData/>
  </xdr:oneCellAnchor>
  <xdr:twoCellAnchor editAs="oneCell">
    <xdr:from>
      <xdr:col>2</xdr:col>
      <xdr:colOff>47625</xdr:colOff>
      <xdr:row>202</xdr:row>
      <xdr:rowOff>95250</xdr:rowOff>
    </xdr:from>
    <xdr:to>
      <xdr:col>7</xdr:col>
      <xdr:colOff>677235</xdr:colOff>
      <xdr:row>233</xdr:row>
      <xdr:rowOff>811</xdr:rowOff>
    </xdr:to>
    <xdr:pic>
      <xdr:nvPicPr>
        <xdr:cNvPr id="8" name="Picture 7"/>
        <xdr:cNvPicPr>
          <a:picLocks noChangeAspect="1"/>
        </xdr:cNvPicPr>
      </xdr:nvPicPr>
      <xdr:blipFill>
        <a:blip xmlns:r="http://schemas.openxmlformats.org/officeDocument/2006/relationships" r:embed="rId6"/>
        <a:stretch>
          <a:fillRect/>
        </a:stretch>
      </xdr:blipFill>
      <xdr:spPr>
        <a:xfrm>
          <a:off x="1104900" y="39185850"/>
          <a:ext cx="6878010" cy="58110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94"/>
  <sheetViews>
    <sheetView tabSelected="1" topLeftCell="A19" zoomScaleNormal="100" workbookViewId="0">
      <selection activeCell="C4" sqref="C4"/>
    </sheetView>
  </sheetViews>
  <sheetFormatPr defaultColWidth="9.140625" defaultRowHeight="15"/>
  <cols>
    <col min="1" max="1" width="9.140625" style="1"/>
    <col min="2" max="2" width="6.7109375" style="1" customWidth="1"/>
    <col min="3" max="3" width="14.7109375" style="1" customWidth="1"/>
    <col min="4" max="4" width="20.42578125" style="1" customWidth="1"/>
    <col min="5" max="5" width="17.5703125" style="1" customWidth="1"/>
    <col min="6" max="6" width="20.5703125" style="1" customWidth="1"/>
    <col min="7" max="7" width="20.42578125" style="1" customWidth="1"/>
    <col min="8" max="8" width="15.28515625" style="1" customWidth="1"/>
    <col min="9" max="9" width="17.28515625" style="1" customWidth="1"/>
    <col min="10" max="10" width="12.85546875" style="1" customWidth="1"/>
    <col min="11" max="11" width="13.85546875" style="1" customWidth="1"/>
    <col min="12" max="12" width="4.140625" style="1" customWidth="1"/>
    <col min="13" max="13" width="49" style="1" customWidth="1"/>
    <col min="14" max="14" width="33.7109375" style="1" customWidth="1"/>
    <col min="15" max="16384" width="9.140625" style="1"/>
  </cols>
  <sheetData>
    <row r="3" spans="2:13" ht="30">
      <c r="B3" s="53" t="s">
        <v>42</v>
      </c>
      <c r="C3" s="25" t="s">
        <v>48</v>
      </c>
      <c r="D3" s="25" t="s">
        <v>47</v>
      </c>
      <c r="E3" s="23" t="s">
        <v>46</v>
      </c>
      <c r="F3" s="23" t="s">
        <v>45</v>
      </c>
      <c r="G3" s="23" t="s">
        <v>88</v>
      </c>
      <c r="H3" s="23" t="s">
        <v>50</v>
      </c>
      <c r="I3" s="23" t="s">
        <v>93</v>
      </c>
      <c r="J3" s="24"/>
      <c r="K3" s="24"/>
    </row>
    <row r="4" spans="2:13">
      <c r="B4" s="53"/>
      <c r="C4" s="27">
        <v>1392</v>
      </c>
      <c r="D4" s="28">
        <f xml:space="preserve"> 1/C4*1000*1000</f>
        <v>718.39080459770105</v>
      </c>
      <c r="E4" s="27">
        <v>16</v>
      </c>
      <c r="F4" s="27">
        <v>32</v>
      </c>
      <c r="G4" s="27">
        <v>4</v>
      </c>
      <c r="H4" s="27" t="s">
        <v>12</v>
      </c>
      <c r="I4" s="27" t="s">
        <v>94</v>
      </c>
      <c r="J4" s="42"/>
      <c r="K4" s="24"/>
      <c r="M4" s="43" t="str">
        <f>IF($H$4="Disable", IF($I$4="CV2xFS", "Notice: Please enable High Skew mode for CV2xFS.", ""), "")</f>
        <v/>
      </c>
    </row>
    <row r="5" spans="2:13">
      <c r="B5" s="24"/>
      <c r="K5" s="24"/>
    </row>
    <row r="6" spans="2:13">
      <c r="B6" s="24"/>
      <c r="K6" s="24"/>
    </row>
    <row r="7" spans="2:13" ht="48" customHeight="1">
      <c r="B7" s="16" t="s">
        <v>11</v>
      </c>
      <c r="C7" s="16" t="s">
        <v>44</v>
      </c>
      <c r="D7" s="23" t="s">
        <v>43</v>
      </c>
      <c r="E7" s="22" t="s">
        <v>49</v>
      </c>
      <c r="F7" s="16" t="s">
        <v>41</v>
      </c>
      <c r="G7" s="16" t="s">
        <v>40</v>
      </c>
      <c r="H7" s="16" t="s">
        <v>39</v>
      </c>
      <c r="I7" s="16" t="s">
        <v>38</v>
      </c>
      <c r="J7" s="16"/>
      <c r="K7" s="16" t="s">
        <v>37</v>
      </c>
      <c r="M7" s="15" t="s">
        <v>36</v>
      </c>
    </row>
    <row r="8" spans="2:13">
      <c r="B8" s="5">
        <v>0</v>
      </c>
      <c r="C8" s="9" t="s">
        <v>35</v>
      </c>
      <c r="D8" s="13">
        <v>10000</v>
      </c>
      <c r="E8" s="14">
        <v>10000</v>
      </c>
      <c r="F8" s="12">
        <f>E8/$D$4</f>
        <v>13.920000000000002</v>
      </c>
      <c r="G8" s="9">
        <f>ROUNDUP(F8,0)</f>
        <v>14</v>
      </c>
      <c r="H8" s="9">
        <v>-2</v>
      </c>
      <c r="I8" s="9">
        <f>G8+H8</f>
        <v>12</v>
      </c>
      <c r="J8" s="9">
        <f>I8*2^B8</f>
        <v>12</v>
      </c>
      <c r="K8" s="5"/>
      <c r="M8" s="15" t="str">
        <f>"DRAM_CtrlParam:                 .word   0x6d801a"&amp;IF(H4="Enable",8,0)&amp;0</f>
        <v>DRAM_CtrlParam:                 .word   0x6d801a80</v>
      </c>
    </row>
    <row r="9" spans="2:13">
      <c r="B9" s="5">
        <v>5</v>
      </c>
      <c r="C9" s="9" t="s">
        <v>34</v>
      </c>
      <c r="D9" s="13">
        <v>18000</v>
      </c>
      <c r="E9" s="14">
        <v>18000</v>
      </c>
      <c r="F9" s="12">
        <f>E9/$D$4</f>
        <v>25.056000000000004</v>
      </c>
      <c r="G9" s="9">
        <f>ROUNDUP(F9,0)</f>
        <v>26</v>
      </c>
      <c r="H9" s="9">
        <v>-2</v>
      </c>
      <c r="I9" s="9">
        <f>G9+H9</f>
        <v>24</v>
      </c>
      <c r="J9" s="9">
        <f>I9*2^B9</f>
        <v>768</v>
      </c>
      <c r="K9" s="5"/>
      <c r="M9" s="15" t="str">
        <f>"DRAM_ConfigParam:               .word   0x70284"&amp;IF(F4=32,2,3)&amp;IF(E4=16,"d",IF(E4=8,"b",IF(E4=4,9,IF(E4=2,7,5))))&amp;IF(G4=4,8,4)</f>
        <v>DRAM_ConfigParam:               .word   0x702842d8</v>
      </c>
    </row>
    <row r="10" spans="2:13">
      <c r="B10" s="5">
        <v>11</v>
      </c>
      <c r="C10" s="9" t="s">
        <v>33</v>
      </c>
      <c r="D10" s="13">
        <v>21000</v>
      </c>
      <c r="E10" s="14">
        <v>21000</v>
      </c>
      <c r="F10" s="12">
        <f>E10/$D$4</f>
        <v>29.232000000000003</v>
      </c>
      <c r="G10" s="9">
        <f>ROUNDUP(F10,0)</f>
        <v>30</v>
      </c>
      <c r="H10" s="9">
        <v>-2</v>
      </c>
      <c r="I10" s="9">
        <f>G10+H10</f>
        <v>28</v>
      </c>
      <c r="J10" s="9">
        <f>I10*2^B10</f>
        <v>57344</v>
      </c>
      <c r="K10" s="5"/>
      <c r="M10" s="15" t="str">
        <f>"DRAM_Timing1Param:              .word   0x"&amp;LOWER(K12)</f>
        <v>DRAM_Timing1Param:              .word   0x76ace30c</v>
      </c>
    </row>
    <row r="11" spans="2:13">
      <c r="B11" s="5">
        <v>17</v>
      </c>
      <c r="C11" s="9" t="s">
        <v>32</v>
      </c>
      <c r="D11" s="13">
        <f xml:space="preserve"> D12+D10</f>
        <v>63000</v>
      </c>
      <c r="E11" s="14">
        <v>63000</v>
      </c>
      <c r="F11" s="12">
        <f>E11/$D$4</f>
        <v>87.696000000000012</v>
      </c>
      <c r="G11" s="9">
        <f>ROUNDUP(F11,0)</f>
        <v>88</v>
      </c>
      <c r="H11" s="9">
        <v>-2</v>
      </c>
      <c r="I11" s="9">
        <f>G11+H11</f>
        <v>86</v>
      </c>
      <c r="J11" s="9">
        <f>I11*2^B11</f>
        <v>11272192</v>
      </c>
      <c r="K11" s="5"/>
      <c r="M11" s="15" t="str">
        <f>"DRAM_Timing2Param:              .word   0x"&amp;LOWER(K18)</f>
        <v>DRAM_Timing2Param:              .word   0x1ce30d89</v>
      </c>
    </row>
    <row r="12" spans="2:13">
      <c r="B12" s="5">
        <v>25</v>
      </c>
      <c r="C12" s="9" t="s">
        <v>31</v>
      </c>
      <c r="D12" s="13">
        <v>42000</v>
      </c>
      <c r="E12" s="14">
        <v>42000</v>
      </c>
      <c r="F12" s="12">
        <f>E12/$D$4</f>
        <v>58.464000000000006</v>
      </c>
      <c r="G12" s="9">
        <f>ROUNDUP(F12,0)</f>
        <v>59</v>
      </c>
      <c r="H12" s="9">
        <v>0</v>
      </c>
      <c r="I12" s="9">
        <f>G12+H12</f>
        <v>59</v>
      </c>
      <c r="J12" s="9">
        <f>I12*2^B12</f>
        <v>1979711488</v>
      </c>
      <c r="K12" s="5" t="str">
        <f>DEC2HEX(SUM(J8:J12),8)</f>
        <v>76ACE30C</v>
      </c>
      <c r="M12" s="15" t="str">
        <f>"DRAM_Timing3Param:              .word   0x"&amp;K21</f>
        <v>DRAM_Timing3Param:              .word   0x00000153</v>
      </c>
    </row>
    <row r="13" spans="2:13">
      <c r="B13" s="5"/>
      <c r="C13" s="9"/>
      <c r="D13" s="13"/>
      <c r="E13" s="9"/>
      <c r="F13" s="12"/>
      <c r="G13" s="9"/>
      <c r="H13" s="9"/>
      <c r="I13" s="9"/>
      <c r="J13" s="9"/>
      <c r="K13" s="16" t="s">
        <v>30</v>
      </c>
      <c r="M13" s="15" t="str">
        <f>"DRAM_Timing4Param:              .word   0x"&amp;LOWER(K28)</f>
        <v>DRAM_Timing4Param:              .word   0x12d90d36</v>
      </c>
    </row>
    <row r="14" spans="2:13">
      <c r="B14" s="5">
        <v>0</v>
      </c>
      <c r="C14" s="9" t="s">
        <v>29</v>
      </c>
      <c r="D14" s="13">
        <v>7500</v>
      </c>
      <c r="E14" s="14">
        <v>7500</v>
      </c>
      <c r="F14" s="12">
        <f>E14/$D$4</f>
        <v>10.440000000000001</v>
      </c>
      <c r="G14" s="9">
        <f>ROUNDUP(F14,0)</f>
        <v>11</v>
      </c>
      <c r="H14" s="9">
        <v>-2</v>
      </c>
      <c r="I14" s="9">
        <f>G14+H14</f>
        <v>9</v>
      </c>
      <c r="J14" s="9">
        <f>I14*2^B14</f>
        <v>9</v>
      </c>
      <c r="K14" s="5"/>
      <c r="M14" s="15"/>
    </row>
    <row r="15" spans="2:13">
      <c r="B15" s="5">
        <v>4</v>
      </c>
      <c r="C15" s="9" t="s">
        <v>28</v>
      </c>
      <c r="D15" s="13">
        <v>18000</v>
      </c>
      <c r="E15" s="14">
        <v>18000</v>
      </c>
      <c r="F15" s="12">
        <f>E15/$D$4</f>
        <v>25.056000000000004</v>
      </c>
      <c r="G15" s="9">
        <f>ROUNDUP(F15,0)</f>
        <v>26</v>
      </c>
      <c r="H15" s="9">
        <v>-2</v>
      </c>
      <c r="I15" s="9">
        <f>G15+H15</f>
        <v>24</v>
      </c>
      <c r="J15" s="9">
        <f>I15*2^B15</f>
        <v>384</v>
      </c>
      <c r="K15" s="5"/>
      <c r="M15" s="15" t="str">
        <f>"DLL_CtrlSelMiscParam:           .word   0x0018"&amp;IF(H4="Enable",8,0)&amp;"000"</f>
        <v>DLL_CtrlSelMiscParam:           .word   0x00188000</v>
      </c>
    </row>
    <row r="16" spans="2:13">
      <c r="B16" s="5">
        <v>10</v>
      </c>
      <c r="C16" s="9" t="s">
        <v>27</v>
      </c>
      <c r="D16" s="21">
        <f>IF((E4/(F4/16))&gt;8,380000,IF((E4/(F4/16))&gt;4,280000,IF((E4/(F4/16))&gt;2,180000,130000)))</f>
        <v>280000</v>
      </c>
      <c r="E16" s="14">
        <v>280000</v>
      </c>
      <c r="F16" s="20">
        <f>E16/$D$4</f>
        <v>389.76000000000005</v>
      </c>
      <c r="G16" s="9">
        <f>ROUNDUP(F16,0)</f>
        <v>390</v>
      </c>
      <c r="H16" s="11" t="s">
        <v>26</v>
      </c>
      <c r="I16" s="9">
        <f>G16/2</f>
        <v>195</v>
      </c>
      <c r="J16" s="9">
        <f>I16*2^B16</f>
        <v>199680</v>
      </c>
      <c r="K16" s="5"/>
      <c r="M16" s="15"/>
    </row>
    <row r="17" spans="1:14">
      <c r="B17" s="5">
        <v>19</v>
      </c>
      <c r="C17" s="9" t="s">
        <v>25</v>
      </c>
      <c r="D17" s="13">
        <f>IF(C4&gt;=1866,36,IF(C4&gt;=1600,32,IF(C4&gt;=1333,28,IF(C4&gt;=1066,24,IF(C4&gt;=800,20,IF(C4&gt;=533,14,10))))))</f>
        <v>28</v>
      </c>
      <c r="E17" s="9"/>
      <c r="F17" s="12"/>
      <c r="G17" s="9"/>
      <c r="H17" s="9"/>
      <c r="I17" s="9"/>
      <c r="J17" s="9">
        <f>D17*2^B17</f>
        <v>14680064</v>
      </c>
      <c r="K17" s="5"/>
      <c r="M17" s="15"/>
    </row>
    <row r="18" spans="1:14">
      <c r="B18" s="5">
        <v>25</v>
      </c>
      <c r="C18" s="9" t="s">
        <v>24</v>
      </c>
      <c r="D18" s="13">
        <f>IF(C4&gt;=1866,18,IF(C4&gt;=1600,16,IF(C4&gt;=1333,14,IF(C4&gt;=1066,12,IF(C4&gt;=800,10,IF(C4&gt;=533,8,6))))))</f>
        <v>14</v>
      </c>
      <c r="E18" s="9"/>
      <c r="F18" s="12"/>
      <c r="G18" s="9"/>
      <c r="H18" s="9"/>
      <c r="I18" s="9"/>
      <c r="J18" s="9">
        <f>D18*2^B18</f>
        <v>469762048</v>
      </c>
      <c r="K18" s="5" t="str">
        <f>DEC2HEX(SUM(J14:J18),8)</f>
        <v>1CE30D89</v>
      </c>
      <c r="M18" s="44" t="str">
        <f>IF(($D$18+$I$25+8+2)&lt;64, "",   IF($I$4="CV2xFS", "(CFG_T_WTR + CFG_T_CWL + burst_cycle + 2 ) &lt; 64 violation", ""))</f>
        <v/>
      </c>
      <c r="N18" s="19"/>
    </row>
    <row r="19" spans="1:14">
      <c r="B19" s="5"/>
      <c r="C19" s="9"/>
      <c r="D19" s="18"/>
      <c r="E19" s="9"/>
      <c r="F19" s="17"/>
      <c r="G19" s="9"/>
      <c r="H19" s="9"/>
      <c r="I19" s="9"/>
      <c r="J19" s="9"/>
      <c r="K19" s="16" t="s">
        <v>23</v>
      </c>
      <c r="M19" s="15" t="str">
        <f>"LPDDR4_ModeReg1ParamFsp0:       .word   0x010100"&amp;DEC2HEX(SUM(IF(G15&gt;34,116,IF(G15&gt;30,100,IF(G15&gt;24,84,IF(G15&gt;20,68,IF(G15&gt;16,52,IF(G15&gt;10,36,20)))))),IF(H4="Disable",128,0)))</f>
        <v>LPDDR4_ModeReg1ParamFsp0:       .word   0x01010054</v>
      </c>
    </row>
    <row r="20" spans="1:14">
      <c r="B20" s="5">
        <v>0</v>
      </c>
      <c r="C20" s="9" t="s">
        <v>22</v>
      </c>
      <c r="D20" s="13">
        <v>3904000</v>
      </c>
      <c r="E20" s="14">
        <v>3904000</v>
      </c>
      <c r="F20" s="12">
        <f>E20/$D$4</f>
        <v>5434.3680000000004</v>
      </c>
      <c r="G20" s="9">
        <f>ROUNDUP(F20,0)</f>
        <v>5435</v>
      </c>
      <c r="H20" s="11" t="s">
        <v>21</v>
      </c>
      <c r="I20" s="9">
        <f>G20/16</f>
        <v>339.6875</v>
      </c>
      <c r="J20" s="9">
        <f>ROUNDDOWN(I20,0)</f>
        <v>339</v>
      </c>
      <c r="K20" s="5"/>
      <c r="M20" s="15" t="str">
        <f>"LPDDR4_ModeReg1ParamFsp1:       .word   0x010100"&amp;DEC2HEX(SUM(IF(G15&gt;34,116,IF(G15&gt;30,100,IF(G15&gt;24,84,IF(G15&gt;20,68,IF(G15&gt;16,52,IF(G15&gt;10,36,20)))))),IF(H4="Disable",128,0)))</f>
        <v>LPDDR4_ModeReg1ParamFsp1:       .word   0x01010054</v>
      </c>
    </row>
    <row r="21" spans="1:14">
      <c r="B21" s="5"/>
      <c r="C21" s="9"/>
      <c r="D21" s="13"/>
      <c r="E21" s="9"/>
      <c r="F21" s="12"/>
      <c r="G21" s="9"/>
      <c r="H21" s="9"/>
      <c r="I21" s="9"/>
      <c r="J21" s="9"/>
      <c r="K21" s="5" t="str">
        <f>DEC2HEX(J20,8)</f>
        <v>00000153</v>
      </c>
      <c r="M21" s="15" t="str">
        <f>"LPDDR4_ModeReg2ParamFsp0:       .word   0x010200"&amp;IF(C4&gt;=1866,"3F",IF(C4&gt;=1600,"36",IF(C4&gt;=1333,"2d",IF(C4&gt;=1066,"24",IF(C4&gt;=800,"1B",IF(C4&gt;=533,"12","9"))))))</f>
        <v>LPDDR4_ModeReg2ParamFsp0:       .word   0x0102002d</v>
      </c>
    </row>
    <row r="22" spans="1:14">
      <c r="B22" s="5"/>
      <c r="C22" s="9"/>
      <c r="D22" s="13"/>
      <c r="E22" s="9"/>
      <c r="F22" s="12"/>
      <c r="G22" s="9"/>
      <c r="H22" s="9"/>
      <c r="I22" s="9"/>
      <c r="J22" s="9"/>
      <c r="K22" s="16" t="s">
        <v>20</v>
      </c>
      <c r="M22" s="15" t="str">
        <f>"LPDDR4_ModeReg2ParamFsp1:       .word   0x010200"&amp;IF(C4&gt;=1866,"3F",IF(C4&gt;=1600,"36",IF(C4&gt;=1333,"2d",IF(C4&gt;=1066,"24",IF(C4&gt;=800,"1B",IF(C4&gt;=533,"12","9"))))))</f>
        <v>LPDDR4_ModeReg2ParamFsp1:       .word   0x0102002d</v>
      </c>
    </row>
    <row r="23" spans="1:14">
      <c r="B23" s="5">
        <v>0</v>
      </c>
      <c r="C23" s="9" t="s">
        <v>19</v>
      </c>
      <c r="D23" s="13">
        <v>40000</v>
      </c>
      <c r="E23" s="14">
        <v>40000</v>
      </c>
      <c r="F23" s="12">
        <f>E23/$D$4</f>
        <v>55.680000000000007</v>
      </c>
      <c r="G23" s="9">
        <f>ROUNDUP(F23,0)</f>
        <v>56</v>
      </c>
      <c r="H23" s="9">
        <v>-2</v>
      </c>
      <c r="I23" s="9">
        <f>SUM(G23,H23)</f>
        <v>54</v>
      </c>
      <c r="J23" s="9">
        <f>I23*2^B23</f>
        <v>54</v>
      </c>
      <c r="K23" s="5"/>
      <c r="M23" s="2"/>
    </row>
    <row r="24" spans="1:14">
      <c r="B24" s="5">
        <v>7</v>
      </c>
      <c r="C24" s="9" t="s">
        <v>18</v>
      </c>
      <c r="D24" s="13">
        <f>D16+7500</f>
        <v>287500</v>
      </c>
      <c r="E24" s="14">
        <v>387500</v>
      </c>
      <c r="F24" s="12">
        <f>E24/$D$4</f>
        <v>539.40000000000009</v>
      </c>
      <c r="G24" s="9">
        <f>ROUNDUP(F24,0)</f>
        <v>540</v>
      </c>
      <c r="H24" s="9">
        <v>-2</v>
      </c>
      <c r="I24" s="9">
        <f>SUM(G24,H24)</f>
        <v>538</v>
      </c>
      <c r="J24" s="9">
        <f>I24*2^B24</f>
        <v>68864</v>
      </c>
      <c r="K24" s="5"/>
      <c r="M24" s="2"/>
    </row>
    <row r="25" spans="1:14">
      <c r="B25" s="5">
        <v>17</v>
      </c>
      <c r="C25" s="9" t="s">
        <v>17</v>
      </c>
      <c r="D25" s="13">
        <v>10000</v>
      </c>
      <c r="E25" s="14">
        <v>10000</v>
      </c>
      <c r="F25" s="12">
        <f>E25/$D$4</f>
        <v>13.920000000000002</v>
      </c>
      <c r="G25" s="9">
        <f>ROUNDUP(F25,0)</f>
        <v>14</v>
      </c>
      <c r="H25" s="9">
        <v>-2</v>
      </c>
      <c r="I25" s="9">
        <f>SUM(G25,H25)</f>
        <v>12</v>
      </c>
      <c r="J25" s="9">
        <f>I25*2^B25</f>
        <v>1572864</v>
      </c>
      <c r="K25" s="5"/>
      <c r="M25" s="2"/>
    </row>
    <row r="26" spans="1:14">
      <c r="B26" s="5">
        <v>22</v>
      </c>
      <c r="C26" s="9" t="s">
        <v>16</v>
      </c>
      <c r="D26" s="13">
        <f>ROUNDUP(7500/D4,0)</f>
        <v>11</v>
      </c>
      <c r="E26" s="11"/>
      <c r="F26" s="12"/>
      <c r="G26" s="9"/>
      <c r="H26" s="9"/>
      <c r="I26" s="9"/>
      <c r="J26" s="9">
        <f>D26*2^B26</f>
        <v>46137344</v>
      </c>
      <c r="K26" s="3"/>
      <c r="M26" s="2"/>
    </row>
    <row r="27" spans="1:14">
      <c r="B27" s="5">
        <v>27</v>
      </c>
      <c r="C27" s="9" t="s">
        <v>15</v>
      </c>
      <c r="D27" s="11">
        <v>2</v>
      </c>
      <c r="E27" s="10"/>
      <c r="F27" s="9"/>
      <c r="G27" s="9"/>
      <c r="H27" s="9"/>
      <c r="I27" s="9"/>
      <c r="J27" s="9">
        <f>D27*2^B27</f>
        <v>268435456</v>
      </c>
      <c r="K27" s="5"/>
      <c r="M27" s="2"/>
    </row>
    <row r="28" spans="1:14">
      <c r="B28" s="5">
        <v>29</v>
      </c>
      <c r="C28" s="9" t="s">
        <v>14</v>
      </c>
      <c r="D28" s="11">
        <f>IF(C4&gt;1400,1,0)</f>
        <v>0</v>
      </c>
      <c r="E28" s="10"/>
      <c r="F28" s="9"/>
      <c r="G28" s="9"/>
      <c r="H28" s="9"/>
      <c r="I28" s="9"/>
      <c r="J28" s="9">
        <f>D28*2^B28</f>
        <v>0</v>
      </c>
      <c r="K28" s="5" t="str">
        <f>DEC2HEX(SUM(J23:J28),8)</f>
        <v>12D90D36</v>
      </c>
      <c r="M28" s="2"/>
    </row>
    <row r="29" spans="1:14">
      <c r="M29" s="2"/>
    </row>
    <row r="30" spans="1:14">
      <c r="B30" s="6" t="s">
        <v>11</v>
      </c>
      <c r="C30" s="52" t="s">
        <v>13</v>
      </c>
      <c r="D30" s="52"/>
      <c r="E30" s="6" t="s">
        <v>9</v>
      </c>
      <c r="F30" s="31" t="s">
        <v>124</v>
      </c>
      <c r="G30" s="31" t="s">
        <v>125</v>
      </c>
      <c r="H30" s="3"/>
      <c r="I30" s="3"/>
      <c r="J30" s="3"/>
      <c r="K30" s="3"/>
      <c r="M30" s="2"/>
    </row>
    <row r="31" spans="1:14">
      <c r="A31" s="45" t="s">
        <v>95</v>
      </c>
      <c r="B31" s="5">
        <f>IF($I$4="CV2xFS",8,12)</f>
        <v>12</v>
      </c>
      <c r="C31" s="50" t="s">
        <v>96</v>
      </c>
      <c r="D31" s="51"/>
      <c r="E31" s="26">
        <v>30</v>
      </c>
      <c r="F31" s="4" t="str">
        <f>IF($I$4="CV2xFS", "padterm3[10:8]","padterm3[14:12]")</f>
        <v>padterm3[14:12]</v>
      </c>
      <c r="G31" s="3"/>
      <c r="H31" s="3"/>
      <c r="I31" s="3"/>
      <c r="J31" s="3"/>
      <c r="K31" s="3">
        <f>ROUNDUP(240/E31-1,0)</f>
        <v>7</v>
      </c>
      <c r="M31" s="2" t="str">
        <f>IF($I$4="CV2xFS","","DRAM_PadTermParam:              .word   0x000200"&amp;LOWER(DEC2HEX(SUM(K37*2^B37,K33*2^B33,K38*2^B38))))</f>
        <v>DRAM_PadTermParam:              .word   0x000200bc</v>
      </c>
    </row>
    <row r="32" spans="1:14">
      <c r="A32" s="46"/>
      <c r="B32" s="5">
        <f>IF($I$4="CV2xFS",16,20)</f>
        <v>20</v>
      </c>
      <c r="C32" s="50" t="s">
        <v>97</v>
      </c>
      <c r="D32" s="51"/>
      <c r="E32" s="26">
        <v>80</v>
      </c>
      <c r="F32" s="4" t="str">
        <f>IF($I$4="CV2xFS", "padterm3[18:16]","padterm3[22:20]")</f>
        <v>padterm3[22:20]</v>
      </c>
      <c r="G32" s="3"/>
      <c r="H32" s="3"/>
      <c r="I32" s="3"/>
      <c r="J32" s="3"/>
      <c r="K32" s="3">
        <f>ROUNDUP(240/E32-1,0)</f>
        <v>2</v>
      </c>
      <c r="M32" s="2" t="str">
        <f>IF($I$4="CV2xFS","","DRAM_PadTerm2Param:             .word   0x0"&amp;LOWER(DEC2HEX(SUM(K39*2^B39,K43*2^B43,K34*2^B34,1*2^11,K40*2^B40,1*2^15,K41*2^B41,K45*2^B45,K46*2^B46,K42*2^B42,1*2^27,K44*2^B44))))</f>
        <v>DRAM_PadTerm2Param:             .word   0x0a0faa0f</v>
      </c>
    </row>
    <row r="33" spans="1:13">
      <c r="A33" s="46"/>
      <c r="B33" s="8">
        <v>2</v>
      </c>
      <c r="C33" s="50" t="s">
        <v>98</v>
      </c>
      <c r="D33" s="51"/>
      <c r="E33" s="26">
        <v>30</v>
      </c>
      <c r="F33" s="4" t="str">
        <f>IF($I$4="CV2xFS", "padterm4[4:2]","padterm[4:2]")</f>
        <v>padterm[4:2]</v>
      </c>
      <c r="G33" s="3"/>
      <c r="H33" s="3"/>
      <c r="I33" s="3"/>
      <c r="J33" s="3"/>
      <c r="K33" s="3">
        <f>ROUNDUP(240/E33-1,0)</f>
        <v>7</v>
      </c>
      <c r="M33" s="2" t="str">
        <f>IF($I$4="CV2xFS","","DRAM_PadTerm3Param:             .word   0x00"&amp;LOWER(DEC2HEX(SUM(K31*2^B31,K32*2^B32,K35*2^B35,K36*2^B36,1*2^23))))</f>
        <v>DRAM_PadTerm3Param:             .word   0x00aa7000</v>
      </c>
    </row>
    <row r="34" spans="1:13">
      <c r="A34" s="46"/>
      <c r="B34" s="8">
        <f>IF($I$4="CV2xFS",12,8)</f>
        <v>8</v>
      </c>
      <c r="C34" s="50" t="s">
        <v>99</v>
      </c>
      <c r="D34" s="50"/>
      <c r="E34" s="26">
        <v>80</v>
      </c>
      <c r="F34" s="3" t="str">
        <f>IF($I$4="CV2xFS", "padterm4[14:12]","padterm2[10:8]")</f>
        <v>padterm2[10:8]</v>
      </c>
      <c r="G34" s="3"/>
      <c r="H34" s="3"/>
      <c r="I34" s="3"/>
      <c r="J34" s="3"/>
      <c r="K34" s="3">
        <f>ROUNDUP(240/E34-1,0)</f>
        <v>2</v>
      </c>
      <c r="M34" s="2"/>
    </row>
    <row r="35" spans="1:13">
      <c r="A35" s="46"/>
      <c r="B35" s="5">
        <f>IF($I$4="CV2xFS",11,15)</f>
        <v>15</v>
      </c>
      <c r="C35" s="50" t="s">
        <v>100</v>
      </c>
      <c r="D35" s="51"/>
      <c r="E35" s="26" t="s">
        <v>12</v>
      </c>
      <c r="F35" s="4" t="str">
        <f>IF($I$4="CV2xFS", "padterm3[11]","padterm3[15]")</f>
        <v>padterm3[15]</v>
      </c>
      <c r="G35" s="3"/>
      <c r="H35" s="3"/>
      <c r="I35" s="3"/>
      <c r="J35" s="3"/>
      <c r="K35" s="3">
        <f>IF(E35="Disable",1,0)</f>
        <v>0</v>
      </c>
      <c r="M35" s="2" t="str">
        <f>IF($I$4="CV2xFS","DRAM_PadTerm2Param:             .word   0x0"&amp;LOWER(DEC2HEX(SUM(K39*2^B39,K43*2^B43,K40*2^B40,1*2^15,K41*2^B41,K45*2^B45,K46*2^B46,K42*2^B42,1*2^27,K44*2^B44))),"")</f>
        <v/>
      </c>
    </row>
    <row r="36" spans="1:13">
      <c r="A36" s="46"/>
      <c r="B36" s="5">
        <f>IF($I$4="CV2xFS",13,17)</f>
        <v>17</v>
      </c>
      <c r="C36" s="50" t="s">
        <v>101</v>
      </c>
      <c r="D36" s="51"/>
      <c r="E36" s="26">
        <v>48</v>
      </c>
      <c r="F36" s="4" t="str">
        <f>IF($I$4="CV2xFS", "padterm3[15:13]","padterm3[19:17]")</f>
        <v>padterm3[19:17]</v>
      </c>
      <c r="G36" s="3"/>
      <c r="H36" s="3"/>
      <c r="I36" s="3"/>
      <c r="J36" s="3"/>
      <c r="K36" s="3">
        <f>ROUNDUP(240/E36,0)</f>
        <v>5</v>
      </c>
      <c r="M36" s="2" t="str">
        <f>IF($I$4="CV2xFS","DRAM_PadTerm3Param:             .word   0x100"&amp;LOWER(DEC2HEX(SUM(K31*2^B31,K32*2^B32,K35*2^B35,K36*2^B36,1*2^19))),"")</f>
        <v/>
      </c>
    </row>
    <row r="37" spans="1:13">
      <c r="A37" s="46"/>
      <c r="B37" s="5">
        <v>0</v>
      </c>
      <c r="C37" s="50" t="s">
        <v>102</v>
      </c>
      <c r="D37" s="51"/>
      <c r="E37" s="26" t="s">
        <v>12</v>
      </c>
      <c r="F37" s="4" t="str">
        <f>IF($I$4="CV2xFS", "padterm4[0]","padterm[0]")</f>
        <v>padterm[0]</v>
      </c>
      <c r="G37" s="3"/>
      <c r="H37" s="3"/>
      <c r="I37" s="3"/>
      <c r="J37" s="3"/>
      <c r="K37" s="3">
        <f>IF(E37="Disable",1,0)</f>
        <v>0</v>
      </c>
      <c r="M37" s="2" t="str">
        <f>IF($I$4="CV2xFS","DRAM_PadTerm4Param:             .word   0x0000"&amp;LOWER(DEC2HEX(SUM(K37*2^B37,K33*2^B33,K38*2^B38,K34*2^B34,4*2^8,1*2^15))), "")</f>
        <v/>
      </c>
    </row>
    <row r="38" spans="1:13">
      <c r="A38" s="46"/>
      <c r="B38" s="8">
        <v>5</v>
      </c>
      <c r="C38" s="50" t="s">
        <v>103</v>
      </c>
      <c r="D38" s="51"/>
      <c r="E38" s="26">
        <v>48</v>
      </c>
      <c r="F38" s="4" t="str">
        <f>IF($I$4="CV2xFS", "padterm4[7:5]","padterm[7:5]")</f>
        <v>padterm[7:5]</v>
      </c>
      <c r="G38" s="3"/>
      <c r="H38" s="3"/>
      <c r="I38" s="3"/>
      <c r="J38" s="3"/>
      <c r="K38" s="3">
        <f>ROUNDUP(240/E38,0)</f>
        <v>5</v>
      </c>
      <c r="M38" s="2"/>
    </row>
    <row r="39" spans="1:13">
      <c r="A39" s="45" t="s">
        <v>104</v>
      </c>
      <c r="B39" s="38">
        <v>0</v>
      </c>
      <c r="C39" s="47" t="s">
        <v>105</v>
      </c>
      <c r="D39" s="47"/>
      <c r="E39" s="39">
        <v>30</v>
      </c>
      <c r="F39" s="40" t="s">
        <v>106</v>
      </c>
      <c r="G39" s="40" t="s">
        <v>107</v>
      </c>
      <c r="H39" s="40"/>
      <c r="I39" s="40"/>
      <c r="J39" s="40"/>
      <c r="K39" s="40">
        <f>ROUNDUP(240/E39-1,0)</f>
        <v>7</v>
      </c>
      <c r="M39" s="2"/>
    </row>
    <row r="40" spans="1:13">
      <c r="A40" s="46"/>
      <c r="B40" s="38">
        <v>12</v>
      </c>
      <c r="C40" s="47" t="s">
        <v>108</v>
      </c>
      <c r="D40" s="47"/>
      <c r="E40" s="39">
        <v>80</v>
      </c>
      <c r="F40" s="40" t="s">
        <v>109</v>
      </c>
      <c r="G40" s="40" t="s">
        <v>107</v>
      </c>
      <c r="H40" s="40"/>
      <c r="I40" s="40"/>
      <c r="J40" s="40"/>
      <c r="K40" s="40">
        <f>ROUNDUP(240/E40-1,0)</f>
        <v>2</v>
      </c>
      <c r="M40" s="2"/>
    </row>
    <row r="41" spans="1:13">
      <c r="A41" s="46"/>
      <c r="B41" s="38">
        <v>16</v>
      </c>
      <c r="C41" s="47" t="s">
        <v>110</v>
      </c>
      <c r="D41" s="47"/>
      <c r="E41" s="39">
        <v>30</v>
      </c>
      <c r="F41" s="40" t="s">
        <v>111</v>
      </c>
      <c r="G41" s="40" t="s">
        <v>107</v>
      </c>
      <c r="H41" s="40"/>
      <c r="I41" s="40"/>
      <c r="J41" s="40"/>
      <c r="K41" s="40">
        <f>ROUNDUP(240/E41-1,0)</f>
        <v>7</v>
      </c>
      <c r="M41" s="2"/>
    </row>
    <row r="42" spans="1:13">
      <c r="A42" s="46"/>
      <c r="B42" s="38">
        <v>24</v>
      </c>
      <c r="C42" s="47" t="s">
        <v>112</v>
      </c>
      <c r="D42" s="47"/>
      <c r="E42" s="39">
        <v>80</v>
      </c>
      <c r="F42" s="40" t="s">
        <v>113</v>
      </c>
      <c r="G42" s="40" t="s">
        <v>107</v>
      </c>
      <c r="H42" s="40"/>
      <c r="I42" s="40"/>
      <c r="J42" s="40"/>
      <c r="K42" s="40">
        <f>ROUNDUP(240/E42-1,0)</f>
        <v>2</v>
      </c>
      <c r="M42" s="2"/>
    </row>
    <row r="43" spans="1:13">
      <c r="A43" s="46"/>
      <c r="B43" s="38">
        <v>3</v>
      </c>
      <c r="C43" s="48" t="s">
        <v>114</v>
      </c>
      <c r="D43" s="49"/>
      <c r="E43" s="39" t="s">
        <v>115</v>
      </c>
      <c r="F43" s="40" t="s">
        <v>116</v>
      </c>
      <c r="G43" s="40" t="s">
        <v>117</v>
      </c>
      <c r="H43" s="40"/>
      <c r="I43" s="40"/>
      <c r="J43" s="40"/>
      <c r="K43" s="40">
        <f>IF(E43="Disable",1,0)</f>
        <v>1</v>
      </c>
      <c r="M43" s="2"/>
    </row>
    <row r="44" spans="1:13">
      <c r="A44" s="46"/>
      <c r="B44" s="38">
        <v>5</v>
      </c>
      <c r="C44" s="48" t="s">
        <v>118</v>
      </c>
      <c r="D44" s="49"/>
      <c r="E44" s="39" t="s">
        <v>115</v>
      </c>
      <c r="F44" s="40" t="s">
        <v>119</v>
      </c>
      <c r="G44" s="40" t="s">
        <v>117</v>
      </c>
      <c r="H44" s="40"/>
      <c r="I44" s="40"/>
      <c r="J44" s="40"/>
      <c r="K44" s="40">
        <f>IF(E44="Disable",0,ROUND(240/E44,0))</f>
        <v>0</v>
      </c>
      <c r="M44" s="2"/>
    </row>
    <row r="45" spans="1:13">
      <c r="A45" s="46"/>
      <c r="B45" s="38">
        <v>19</v>
      </c>
      <c r="C45" s="48" t="s">
        <v>120</v>
      </c>
      <c r="D45" s="49"/>
      <c r="E45" s="39" t="s">
        <v>115</v>
      </c>
      <c r="F45" s="40" t="s">
        <v>121</v>
      </c>
      <c r="G45" s="40" t="s">
        <v>117</v>
      </c>
      <c r="H45" s="40"/>
      <c r="I45" s="40"/>
      <c r="J45" s="40"/>
      <c r="K45" s="40">
        <f>IF(E45="Disable",1,0)</f>
        <v>1</v>
      </c>
      <c r="M45" s="2"/>
    </row>
    <row r="46" spans="1:13">
      <c r="A46" s="46"/>
      <c r="B46" s="38">
        <v>21</v>
      </c>
      <c r="C46" s="48" t="s">
        <v>122</v>
      </c>
      <c r="D46" s="49"/>
      <c r="E46" s="39" t="s">
        <v>115</v>
      </c>
      <c r="F46" s="40" t="s">
        <v>123</v>
      </c>
      <c r="G46" s="40" t="s">
        <v>117</v>
      </c>
      <c r="H46" s="40"/>
      <c r="I46" s="40"/>
      <c r="J46" s="40"/>
      <c r="K46" s="40">
        <f>IF(E46="Disable",0,ROUND(240/E46,0))</f>
        <v>0</v>
      </c>
      <c r="M46" s="2" t="str">
        <f>"LPDDR4_ModeReg3ParamFsp0:       .word   0x010300"&amp;DEC2HEX($K$49*2^$B$49+3)</f>
        <v>LPDDR4_ModeReg3ParamFsp0:       .word   0x01030033</v>
      </c>
    </row>
    <row r="47" spans="1:13">
      <c r="B47" s="7"/>
      <c r="C47" s="7"/>
      <c r="D47" s="7"/>
      <c r="E47" s="7"/>
      <c r="M47" s="2" t="str">
        <f>"LPDDR4_ModeReg3ParamFsp1:       .word   0x010300"&amp;DEC2HEX($K$49*2^$B$49+3)</f>
        <v>LPDDR4_ModeReg3ParamFsp1:       .word   0x01030033</v>
      </c>
    </row>
    <row r="48" spans="1:13">
      <c r="B48" s="6" t="s">
        <v>11</v>
      </c>
      <c r="C48" s="52" t="s">
        <v>10</v>
      </c>
      <c r="D48" s="52"/>
      <c r="E48" s="6" t="s">
        <v>9</v>
      </c>
      <c r="F48" s="3"/>
      <c r="G48" s="3"/>
      <c r="H48" s="3"/>
      <c r="I48" s="3"/>
      <c r="J48" s="3"/>
      <c r="K48" s="3"/>
      <c r="M48" s="2" t="str">
        <f>"LPDDR4_ModeReg11ParamFsp0:      .word   0x010b00"&amp;DEC2HEX(SUM($K$50*2^$B$50,$K$51*2^$B$51))</f>
        <v>LPDDR4_ModeReg11ParamFsp0:      .word   0x010b0024</v>
      </c>
    </row>
    <row r="49" spans="2:13">
      <c r="B49" s="5">
        <v>3</v>
      </c>
      <c r="C49" s="50" t="s">
        <v>8</v>
      </c>
      <c r="D49" s="51"/>
      <c r="E49" s="26" t="s">
        <v>7</v>
      </c>
      <c r="F49" s="4"/>
      <c r="G49" s="3"/>
      <c r="H49" s="3"/>
      <c r="I49" s="3"/>
      <c r="J49" s="3"/>
      <c r="K49" s="3">
        <f>IF(E49="RZQ/6",6,IF(E49="RZQ/5",5,IF(E49="RZQ/4",4,IF(E49="RZQ/3",3,IF(E49="RZQ/2",2,1)))))</f>
        <v>6</v>
      </c>
      <c r="M49" s="2" t="str">
        <f>"LPDDR4_ModeReg11ParamFsp1:      .word   0x010b00"&amp;DEC2HEX(SUM($K$50*2^$B$50,$K$51*2^$B$51))</f>
        <v>LPDDR4_ModeReg11ParamFsp1:      .word   0x010b0024</v>
      </c>
    </row>
    <row r="50" spans="2:13">
      <c r="B50" s="5">
        <v>0</v>
      </c>
      <c r="C50" s="50" t="s">
        <v>6</v>
      </c>
      <c r="D50" s="51"/>
      <c r="E50" s="26" t="s">
        <v>5</v>
      </c>
      <c r="F50" s="4"/>
      <c r="G50" s="3"/>
      <c r="H50" s="3"/>
      <c r="I50" s="3"/>
      <c r="J50" s="3"/>
      <c r="K50" s="3">
        <f>IF(E50="RZQ/6",6,IF(E50="RZQ/5",5,IF(E50="RZQ/4",4,IF(E50="RZQ/3",3,IF(E50="RZQ/2",2,1)))))</f>
        <v>4</v>
      </c>
      <c r="M50" s="2" t="str">
        <f>"LPDDR4_ModeReg22ParamFsp0:      .word   0x011600"&amp;DEC2HEX(IF($K$35=1,0,IF($K$36&gt;6,6,$K$36)),2)</f>
        <v>LPDDR4_ModeReg22ParamFsp0:      .word   0x01160005</v>
      </c>
    </row>
    <row r="51" spans="2:13">
      <c r="B51" s="5">
        <v>4</v>
      </c>
      <c r="C51" s="50" t="s">
        <v>4</v>
      </c>
      <c r="D51" s="51"/>
      <c r="E51" s="26" t="s">
        <v>3</v>
      </c>
      <c r="F51" s="4"/>
      <c r="G51" s="3"/>
      <c r="H51" s="3"/>
      <c r="I51" s="3"/>
      <c r="J51" s="3"/>
      <c r="K51" s="3">
        <f>IF(E51="RZQ/6",6,IF(E51="RZQ/5",5,IF(E51="RZQ/4",4,IF(E51="RZQ/3",3,IF(E51="RZQ/2",2,1)))))</f>
        <v>2</v>
      </c>
      <c r="M51" s="2" t="str">
        <f>"LPDDR4_ModeReg22ParamFsp1:      .word   0x011600"&amp;DEC2HEX(IF($K$35=1,0,IF($K$36&gt;6,6,$K$36)),2)</f>
        <v>LPDDR4_ModeReg22ParamFsp1:      .word   0x01160005</v>
      </c>
    </row>
    <row r="52" spans="2:13">
      <c r="M52" s="41"/>
    </row>
    <row r="53" spans="2:13">
      <c r="B53" s="1" t="s">
        <v>2</v>
      </c>
      <c r="M53" s="41"/>
    </row>
    <row r="62" spans="2:13">
      <c r="I62" s="1" t="s">
        <v>1</v>
      </c>
    </row>
    <row r="65" spans="9:9">
      <c r="I65" s="1" t="s">
        <v>51</v>
      </c>
    </row>
    <row r="69" spans="9:9">
      <c r="I69" s="1" t="s">
        <v>52</v>
      </c>
    </row>
    <row r="72" spans="9:9">
      <c r="I72" s="1" t="s">
        <v>53</v>
      </c>
    </row>
    <row r="74" spans="9:9">
      <c r="I74" s="1" t="s">
        <v>54</v>
      </c>
    </row>
    <row r="83" spans="9:10">
      <c r="I83" s="1" t="s">
        <v>55</v>
      </c>
    </row>
    <row r="84" spans="9:10">
      <c r="I84" s="1" t="s">
        <v>56</v>
      </c>
    </row>
    <row r="92" spans="9:10">
      <c r="J92" s="1" t="s">
        <v>0</v>
      </c>
    </row>
    <row r="97" spans="9:9">
      <c r="I97" s="1" t="s">
        <v>57</v>
      </c>
    </row>
    <row r="137" spans="9:9">
      <c r="I137" s="1" t="s">
        <v>58</v>
      </c>
    </row>
    <row r="139" spans="9:9">
      <c r="I139" s="1" t="s">
        <v>59</v>
      </c>
    </row>
    <row r="152" spans="9:9">
      <c r="I152" s="1" t="s">
        <v>60</v>
      </c>
    </row>
    <row r="154" spans="9:9">
      <c r="I154" s="1" t="s">
        <v>61</v>
      </c>
    </row>
    <row r="157" spans="9:9">
      <c r="I157" s="1" t="s">
        <v>62</v>
      </c>
    </row>
    <row r="160" spans="9:9">
      <c r="I160" s="1" t="s">
        <v>63</v>
      </c>
    </row>
    <row r="170" spans="9:9">
      <c r="I170" s="1" t="s">
        <v>64</v>
      </c>
    </row>
    <row r="172" spans="9:9">
      <c r="I172" s="1" t="s">
        <v>59</v>
      </c>
    </row>
    <row r="184" spans="9:9">
      <c r="I184" s="1" t="s">
        <v>65</v>
      </c>
    </row>
    <row r="194" spans="9:9">
      <c r="I194" s="1" t="s">
        <v>66</v>
      </c>
    </row>
  </sheetData>
  <mergeCells count="24">
    <mergeCell ref="B3:B4"/>
    <mergeCell ref="C31:D31"/>
    <mergeCell ref="C33:D33"/>
    <mergeCell ref="C45:D45"/>
    <mergeCell ref="C46:D46"/>
    <mergeCell ref="C30:D30"/>
    <mergeCell ref="C51:D51"/>
    <mergeCell ref="C32:D32"/>
    <mergeCell ref="C44:D44"/>
    <mergeCell ref="C48:D48"/>
    <mergeCell ref="C49:D49"/>
    <mergeCell ref="C50:D50"/>
    <mergeCell ref="A31:A38"/>
    <mergeCell ref="C34:D34"/>
    <mergeCell ref="C35:D35"/>
    <mergeCell ref="C36:D36"/>
    <mergeCell ref="C37:D37"/>
    <mergeCell ref="C38:D38"/>
    <mergeCell ref="A39:A46"/>
    <mergeCell ref="C39:D39"/>
    <mergeCell ref="C40:D40"/>
    <mergeCell ref="C41:D41"/>
    <mergeCell ref="C42:D42"/>
    <mergeCell ref="C43:D43"/>
  </mergeCells>
  <phoneticPr fontId="2" type="noConversion"/>
  <dataValidations count="9">
    <dataValidation type="list" allowBlank="1" showInputMessage="1" showErrorMessage="1" sqref="E49:E51">
      <formula1>"RZQ/1,RZQ/2,RZQ/3,RZQ/4,RZQ/5,RZQ/6"</formula1>
    </dataValidation>
    <dataValidation type="list" allowBlank="1" showInputMessage="1" showErrorMessage="1" sqref="E39:E42 E31:E34">
      <formula1>"240,120,80,60,48,40,34.3,30"</formula1>
    </dataValidation>
    <dataValidation type="list" allowBlank="1" showInputMessage="1" showErrorMessage="1" sqref="E38 E36">
      <formula1>"240,120,80,60,48,40,34.3"</formula1>
    </dataValidation>
    <dataValidation type="list" allowBlank="1" showInputMessage="1" showErrorMessage="1" sqref="G4">
      <formula1>"2,4"</formula1>
    </dataValidation>
    <dataValidation type="list" allowBlank="1" showInputMessage="1" showErrorMessage="1" sqref="H4 E43 E35 E37 E45">
      <formula1>"Enable,Disable"</formula1>
    </dataValidation>
    <dataValidation type="list" allowBlank="1" showInputMessage="1" showErrorMessage="1" sqref="F4">
      <formula1>"32,16"</formula1>
    </dataValidation>
    <dataValidation type="list" allowBlank="1" showInputMessage="1" showErrorMessage="1" sqref="E4">
      <formula1>"4,8,16"</formula1>
    </dataValidation>
    <dataValidation type="list" allowBlank="1" showInputMessage="1" showErrorMessage="1" sqref="I4">
      <formula1>"CV2x,CV2xFS"</formula1>
    </dataValidation>
    <dataValidation type="list" allowBlank="1" showInputMessage="1" showErrorMessage="1" sqref="E46 E44">
      <formula1>"Disable,240,120,80,60,48,40,34.3,"</formula1>
    </dataValidation>
  </dataValidation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7" sqref="D7"/>
    </sheetView>
  </sheetViews>
  <sheetFormatPr defaultRowHeight="15"/>
  <cols>
    <col min="2" max="2" width="17.5703125" customWidth="1"/>
    <col min="3" max="3" width="13.5703125" customWidth="1"/>
    <col min="4" max="4" width="106.85546875" customWidth="1"/>
  </cols>
  <sheetData>
    <row r="2" spans="2:4">
      <c r="B2" s="33" t="s">
        <v>90</v>
      </c>
      <c r="C2" s="34" t="s">
        <v>91</v>
      </c>
      <c r="D2" s="35" t="s">
        <v>92</v>
      </c>
    </row>
    <row r="3" spans="2:4" ht="60">
      <c r="B3" s="36">
        <v>1</v>
      </c>
      <c r="C3" s="37">
        <v>44389</v>
      </c>
      <c r="D3" s="32" t="s">
        <v>89</v>
      </c>
    </row>
    <row r="4" spans="2:4" ht="30">
      <c r="B4" s="36">
        <v>1.01</v>
      </c>
      <c r="C4" s="37">
        <v>44441</v>
      </c>
      <c r="D4" s="32" t="s">
        <v>126</v>
      </c>
    </row>
    <row r="5" spans="2:4">
      <c r="B5" s="36">
        <v>1.02</v>
      </c>
      <c r="C5" s="37">
        <v>44505</v>
      </c>
      <c r="D5" s="32" t="s">
        <v>127</v>
      </c>
    </row>
    <row r="6" spans="2:4">
      <c r="B6" s="36">
        <v>1.03</v>
      </c>
      <c r="C6" s="37">
        <v>44606</v>
      </c>
      <c r="D6" s="32" t="s">
        <v>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workbookViewId="0">
      <selection activeCell="C33" sqref="C33"/>
    </sheetView>
  </sheetViews>
  <sheetFormatPr defaultRowHeight="15"/>
  <cols>
    <col min="2" max="2" width="53.140625" customWidth="1"/>
    <col min="3" max="3" width="54.42578125" customWidth="1"/>
    <col min="4" max="4" width="44" customWidth="1"/>
  </cols>
  <sheetData>
    <row r="3" spans="2:4">
      <c r="B3" s="29" t="s">
        <v>86</v>
      </c>
      <c r="C3" s="29" t="s">
        <v>67</v>
      </c>
      <c r="D3" s="29" t="s">
        <v>68</v>
      </c>
    </row>
    <row r="4" spans="2:4">
      <c r="B4" s="1" t="s">
        <v>69</v>
      </c>
      <c r="C4" s="1"/>
      <c r="D4" s="1"/>
    </row>
    <row r="5" spans="2:4">
      <c r="B5" s="1" t="s">
        <v>70</v>
      </c>
      <c r="C5" s="1" t="s">
        <v>71</v>
      </c>
      <c r="D5" s="30" t="s">
        <v>72</v>
      </c>
    </row>
    <row r="6" spans="2:4">
      <c r="B6" s="1" t="s">
        <v>73</v>
      </c>
      <c r="C6" s="1" t="s">
        <v>74</v>
      </c>
      <c r="D6" s="1"/>
    </row>
    <row r="7" spans="2:4">
      <c r="B7" s="1" t="s">
        <v>75</v>
      </c>
      <c r="C7" s="1" t="s">
        <v>76</v>
      </c>
      <c r="D7" s="1" t="s">
        <v>77</v>
      </c>
    </row>
    <row r="8" spans="2:4">
      <c r="B8" s="1"/>
      <c r="C8" s="1"/>
      <c r="D8" s="1"/>
    </row>
    <row r="9" spans="2:4">
      <c r="B9" s="1" t="s">
        <v>78</v>
      </c>
      <c r="C9" s="54" t="s">
        <v>87</v>
      </c>
      <c r="D9" s="1"/>
    </row>
    <row r="10" spans="2:4">
      <c r="B10" s="1" t="s">
        <v>79</v>
      </c>
      <c r="C10" s="54"/>
      <c r="D10" s="1"/>
    </row>
    <row r="11" spans="2:4">
      <c r="B11" s="1" t="s">
        <v>80</v>
      </c>
      <c r="C11" s="54"/>
      <c r="D11" s="1"/>
    </row>
    <row r="12" spans="2:4">
      <c r="B12" s="1"/>
      <c r="C12" s="1"/>
      <c r="D12" s="1"/>
    </row>
    <row r="13" spans="2:4">
      <c r="B13" s="1" t="s">
        <v>81</v>
      </c>
      <c r="C13" s="1" t="s">
        <v>82</v>
      </c>
      <c r="D13" s="30" t="s">
        <v>72</v>
      </c>
    </row>
    <row r="14" spans="2:4">
      <c r="B14" s="1" t="s">
        <v>83</v>
      </c>
      <c r="C14" s="1" t="s">
        <v>84</v>
      </c>
      <c r="D14" s="1"/>
    </row>
    <row r="15" spans="2:4">
      <c r="B15" s="1" t="s">
        <v>85</v>
      </c>
      <c r="C15" s="1" t="s">
        <v>76</v>
      </c>
      <c r="D15" s="1" t="s">
        <v>77</v>
      </c>
    </row>
  </sheetData>
  <mergeCells count="1">
    <mergeCell ref="C9: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DramConfig_LPDDR4</vt:lpstr>
      <vt:lpstr>Revision</vt:lpstr>
      <vt:lpstr>Clk_Setting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(Yueh-Ju) Tai</dc:creator>
  <cp:lastModifiedBy>Roger (Rong-Jyh) Kang</cp:lastModifiedBy>
  <dcterms:created xsi:type="dcterms:W3CDTF">2019-11-01T07:16:51Z</dcterms:created>
  <dcterms:modified xsi:type="dcterms:W3CDTF">2022-02-14T09:18:52Z</dcterms:modified>
</cp:coreProperties>
</file>