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Ante\Dropbox\STEM Games\2019\git\Submarine\"/>
    </mc:Choice>
  </mc:AlternateContent>
  <xr:revisionPtr revIDLastSave="0" documentId="13_ncr:1_{13CDBB09-D9B5-4D18-8261-9B1104BA8B9A}" xr6:coauthVersionLast="43" xr6:coauthVersionMax="43" xr10:uidLastSave="{00000000-0000-0000-0000-000000000000}"/>
  <bookViews>
    <workbookView xWindow="-25170" yWindow="8505" windowWidth="22680" windowHeight="12825" xr2:uid="{00000000-000D-0000-FFFF-FFFF00000000}"/>
  </bookViews>
  <sheets>
    <sheet name="Podmornica" sheetId="1" r:id="rId1"/>
  </sheets>
  <definedNames>
    <definedName name="_xlnm.Print_Area" localSheetId="0">Podmornica!$A$1:$U$126</definedName>
    <definedName name="solver_adj" localSheetId="0" hidden="1">Podmornica!$C$61:$C$62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Podmornica!$C$61</definedName>
    <definedName name="solver_lhs2" localSheetId="0" hidden="1">Podmornica!$C$62</definedName>
    <definedName name="solver_lhs3" localSheetId="0" hidden="1">Podmornica!$H$66</definedName>
    <definedName name="solver_lhs4" localSheetId="0" hidden="1">Podmornica!$I$66</definedName>
    <definedName name="solver_lhs5" localSheetId="0" hidden="1">Podmornica!$I$66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Podmornica!$G$72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hs1" localSheetId="0" hidden="1">100</definedName>
    <definedName name="solver_rhs2" localSheetId="0" hidden="1">100</definedName>
    <definedName name="solver_rhs3" localSheetId="0" hidden="1">Podmornica!$H$67</definedName>
    <definedName name="solver_rhs4" localSheetId="0" hidden="1">Podmornica!$H$68</definedName>
    <definedName name="solver_rhs5" localSheetId="0" hidden="1">Podmornica!$H$68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1" l="1"/>
  <c r="C29" i="1"/>
  <c r="C15" i="1"/>
  <c r="C25" i="1"/>
  <c r="C26" i="1" s="1"/>
  <c r="R55" i="1" l="1"/>
  <c r="G41" i="1"/>
  <c r="D42" i="1" s="1"/>
  <c r="I61" i="1" l="1"/>
  <c r="F83" i="1" l="1"/>
  <c r="H68" i="1" l="1"/>
  <c r="I62" i="1"/>
  <c r="I60" i="1"/>
  <c r="I59" i="1"/>
  <c r="C64" i="1"/>
  <c r="C63" i="1"/>
  <c r="C14" i="1"/>
  <c r="F80" i="1"/>
  <c r="F81" i="1"/>
  <c r="F82" i="1" s="1"/>
  <c r="H69" i="1" l="1"/>
  <c r="R54" i="1"/>
  <c r="K60" i="1"/>
  <c r="F86" i="1"/>
  <c r="F87" i="1"/>
  <c r="F84" i="1" l="1"/>
  <c r="C31" i="1" l="1"/>
  <c r="D43" i="1" l="1"/>
  <c r="D45" i="1"/>
  <c r="D44" i="1" s="1"/>
  <c r="C24" i="1"/>
  <c r="C20" i="1"/>
  <c r="C19" i="1"/>
  <c r="C7" i="1"/>
  <c r="C8" i="1" s="1"/>
  <c r="C30" i="1" s="1"/>
  <c r="C21" i="1" l="1"/>
  <c r="E29" i="1"/>
  <c r="C27" i="1" l="1"/>
  <c r="H67" i="1" s="1"/>
  <c r="D49" i="1"/>
  <c r="D47" i="1" s="1"/>
  <c r="D50" i="1" s="1"/>
  <c r="D51" i="1" s="1"/>
  <c r="D52" i="1" s="1"/>
  <c r="D53" i="1" s="1"/>
  <c r="H60" i="1"/>
  <c r="M60" i="1" s="1"/>
  <c r="N60" i="1" l="1"/>
  <c r="D124" i="1"/>
  <c r="D96" i="1" s="1"/>
  <c r="C95" i="1" s="1"/>
  <c r="D55" i="1"/>
  <c r="H59" i="1" s="1"/>
  <c r="M59" i="1" s="1"/>
  <c r="D95" i="1" l="1"/>
  <c r="C94" i="1"/>
  <c r="D94" i="1" s="1"/>
  <c r="C93" i="1"/>
  <c r="D93" i="1" s="1"/>
  <c r="D109" i="1" l="1"/>
  <c r="D125" i="1"/>
  <c r="K59" i="1" s="1"/>
  <c r="N59" i="1" s="1"/>
  <c r="D108" i="1"/>
  <c r="D118" i="1"/>
  <c r="D110" i="1"/>
  <c r="H61" i="1" s="1"/>
  <c r="D120" i="1"/>
  <c r="H62" i="1" s="1"/>
  <c r="D119" i="1"/>
  <c r="D121" i="1" l="1"/>
  <c r="F64" i="1" s="1"/>
  <c r="M61" i="1"/>
  <c r="M62" i="1"/>
  <c r="K62" i="1"/>
  <c r="N62" i="1" s="1"/>
  <c r="K64" i="1"/>
  <c r="K63" i="1"/>
  <c r="K61" i="1"/>
  <c r="N61" i="1" s="1"/>
  <c r="D111" i="1"/>
  <c r="D64" i="1" l="1"/>
  <c r="H64" i="1" s="1"/>
  <c r="F63" i="1"/>
  <c r="D63" i="1"/>
  <c r="H63" i="1" l="1"/>
  <c r="I63" i="1" s="1"/>
  <c r="N64" i="1"/>
  <c r="I64" i="1"/>
  <c r="M64" i="1" s="1"/>
  <c r="M63" i="1" l="1"/>
  <c r="M66" i="1" s="1"/>
  <c r="N63" i="1"/>
  <c r="N66" i="1" s="1"/>
  <c r="H66" i="1"/>
  <c r="K66" i="1" l="1"/>
  <c r="I66" i="1"/>
  <c r="F85" i="1" s="1"/>
  <c r="G72" i="1" l="1"/>
</calcChain>
</file>

<file path=xl/sharedStrings.xml><?xml version="1.0" encoding="utf-8"?>
<sst xmlns="http://schemas.openxmlformats.org/spreadsheetml/2006/main" count="221" uniqueCount="153">
  <si>
    <t>m</t>
  </si>
  <si>
    <t>Hidrostatski tlak =ro*g*h</t>
  </si>
  <si>
    <t>ro</t>
  </si>
  <si>
    <t>kg/m3</t>
  </si>
  <si>
    <t>g</t>
  </si>
  <si>
    <t>m/s2</t>
  </si>
  <si>
    <t>Dubina mora, h</t>
  </si>
  <si>
    <t>1 bar</t>
  </si>
  <si>
    <t>Pa</t>
  </si>
  <si>
    <t>bar</t>
  </si>
  <si>
    <t>Dimenzije podmorice:</t>
  </si>
  <si>
    <t>Radijus, R</t>
  </si>
  <si>
    <t>Oplošje podmornice:</t>
  </si>
  <si>
    <t>m2</t>
  </si>
  <si>
    <t>Volumen podmornice:</t>
  </si>
  <si>
    <t>Cilindar, R^2*pi()*L</t>
  </si>
  <si>
    <t>m3</t>
  </si>
  <si>
    <t>Kugla, 4/3*R^2*pi()</t>
  </si>
  <si>
    <t>Kugle, 4*R^2*pi()</t>
  </si>
  <si>
    <t>Cilindar, 2*R*pi()*L</t>
  </si>
  <si>
    <t>Debljina stijenke podmornice, t:</t>
  </si>
  <si>
    <t>Peq, tlak</t>
  </si>
  <si>
    <t>sigma=</t>
  </si>
  <si>
    <t>N/mm2</t>
  </si>
  <si>
    <t>J, faktor zavarivanja</t>
  </si>
  <si>
    <t>mm</t>
  </si>
  <si>
    <t>Potrebna snaga:</t>
  </si>
  <si>
    <t>CF= 0,075/(log10*Rn-2)^2, , koef. Trenja,</t>
  </si>
  <si>
    <t>S, Ukupno</t>
  </si>
  <si>
    <t>Pe=Re*V</t>
  </si>
  <si>
    <t>V, brzina broda</t>
  </si>
  <si>
    <t>čv</t>
  </si>
  <si>
    <t>m/2</t>
  </si>
  <si>
    <t>m2/s</t>
  </si>
  <si>
    <t>Rn=V*L/ni, Reynoldsov broj</t>
  </si>
  <si>
    <t>kW</t>
  </si>
  <si>
    <t>kN</t>
  </si>
  <si>
    <t>t</t>
  </si>
  <si>
    <t>t=Peq*Di/(20*sigma*J+Peq)</t>
  </si>
  <si>
    <t>roc</t>
  </si>
  <si>
    <t>trup</t>
  </si>
  <si>
    <t>pogon</t>
  </si>
  <si>
    <t>težište, zg</t>
  </si>
  <si>
    <t>xg</t>
  </si>
  <si>
    <t>Istisnina, VOL*ro</t>
  </si>
  <si>
    <t>Ukupno, VOL</t>
  </si>
  <si>
    <t>Gaz, T</t>
  </si>
  <si>
    <t>Duljina, LC</t>
  </si>
  <si>
    <t>MG=BM+KB-KG</t>
  </si>
  <si>
    <t>BM, L*B^3/12</t>
  </si>
  <si>
    <t>B, Širinu, 2*sqrt(max(0, R^2-(T-R)^2))</t>
  </si>
  <si>
    <t>Volumen, Cil, (R^2*(PI()-ACOS(MIN(0, ((T-R)/R)))+(T-R)*B/2)*LC</t>
  </si>
  <si>
    <t>Volumen, Kugle, pi()/3*(4*R^3-MAX(0, 2*R-T)^2*(R+T))</t>
  </si>
  <si>
    <t>alfa2</t>
  </si>
  <si>
    <t>balast 1</t>
  </si>
  <si>
    <t>balast 2</t>
  </si>
  <si>
    <t>smeće 1</t>
  </si>
  <si>
    <t>smeće 2</t>
  </si>
  <si>
    <t>l1</t>
  </si>
  <si>
    <t>l2</t>
  </si>
  <si>
    <t>%LC</t>
  </si>
  <si>
    <t>LM</t>
  </si>
  <si>
    <t>beta2</t>
  </si>
  <si>
    <t>R2</t>
  </si>
  <si>
    <t>XG1</t>
  </si>
  <si>
    <t>XG2</t>
  </si>
  <si>
    <t>TANK1</t>
  </si>
  <si>
    <t>TANK2</t>
  </si>
  <si>
    <t>Duljine tankova</t>
  </si>
  <si>
    <t>LWL, Duljina WL, MAX(0;SIGN(2*R-T))*LC+2*SQRT(MAX(0,R^2-(T-R)^2))</t>
  </si>
  <si>
    <t>st</t>
  </si>
  <si>
    <t>ros</t>
  </si>
  <si>
    <t>-</t>
  </si>
  <si>
    <t>Ukupna masa</t>
  </si>
  <si>
    <t>Istisnina</t>
  </si>
  <si>
    <t>Volumen, podmornice u plovidbi</t>
  </si>
  <si>
    <t>L, duljina, LC+2*R</t>
  </si>
  <si>
    <t>Di=R*2*1000</t>
  </si>
  <si>
    <t>(Peq*Di/(20*sigma+Peq))</t>
  </si>
  <si>
    <t>Oplakana poršina (S)*debljina (t) *roc*1,5 (masa strukture)</t>
  </si>
  <si>
    <t>pi()*(360-alfa1-beta1)/360*(R^2-R1^2)*l1</t>
  </si>
  <si>
    <t>R^2*pi()*l1</t>
  </si>
  <si>
    <t>Volumen tanka - Volumen balasta</t>
  </si>
  <si>
    <t>R+l1/2</t>
  </si>
  <si>
    <t>XG2,</t>
  </si>
  <si>
    <t>R+l1+l2/2</t>
  </si>
  <si>
    <t>R^2*pi()*l2</t>
  </si>
  <si>
    <t>pi()*(360-alfa2-beta2)/360*(R^2-R2^2)*l2</t>
  </si>
  <si>
    <t>XM, težište pogona, R+l1+l2+LM/2</t>
  </si>
  <si>
    <t>Masa čelika (trupa):</t>
  </si>
  <si>
    <r>
      <rPr>
        <sz val="12"/>
        <color theme="1"/>
        <rFont val="Calibri"/>
        <family val="2"/>
        <charset val="238"/>
        <scheme val="minor"/>
      </rPr>
      <t>VB1</t>
    </r>
    <r>
      <rPr>
        <sz val="10"/>
        <color theme="1"/>
        <rFont val="Calibri"/>
        <family val="2"/>
        <scheme val="minor"/>
      </rPr>
      <t xml:space="preserve">, </t>
    </r>
    <r>
      <rPr>
        <sz val="9"/>
        <color theme="1"/>
        <rFont val="Calibri"/>
        <family val="2"/>
        <charset val="238"/>
        <scheme val="minor"/>
      </rPr>
      <t>Volumen balasta,</t>
    </r>
  </si>
  <si>
    <r>
      <rPr>
        <sz val="12"/>
        <color theme="1"/>
        <rFont val="Calibri"/>
        <family val="2"/>
        <charset val="238"/>
        <scheme val="minor"/>
      </rPr>
      <t>VS1</t>
    </r>
    <r>
      <rPr>
        <sz val="10"/>
        <color theme="1"/>
        <rFont val="Calibri"/>
        <family val="2"/>
        <scheme val="minor"/>
      </rPr>
      <t xml:space="preserve">, </t>
    </r>
    <r>
      <rPr>
        <sz val="9"/>
        <color theme="1"/>
        <rFont val="Calibri"/>
        <family val="2"/>
        <charset val="238"/>
        <scheme val="minor"/>
      </rPr>
      <t>Volumen smeća,</t>
    </r>
  </si>
  <si>
    <r>
      <rPr>
        <sz val="12"/>
        <color theme="1"/>
        <rFont val="Calibri"/>
        <family val="2"/>
        <charset val="238"/>
        <scheme val="minor"/>
      </rPr>
      <t>VT1</t>
    </r>
    <r>
      <rPr>
        <sz val="10"/>
        <color theme="1"/>
        <rFont val="Calibri"/>
        <family val="2"/>
        <scheme val="minor"/>
      </rPr>
      <t xml:space="preserve">, </t>
    </r>
    <r>
      <rPr>
        <sz val="9"/>
        <color theme="1"/>
        <rFont val="Calibri"/>
        <family val="2"/>
        <charset val="238"/>
        <scheme val="minor"/>
      </rPr>
      <t>Volumen tanka,</t>
    </r>
  </si>
  <si>
    <r>
      <rPr>
        <sz val="12"/>
        <color theme="1"/>
        <rFont val="Calibri"/>
        <family val="2"/>
        <charset val="238"/>
        <scheme val="minor"/>
      </rPr>
      <t>VT2</t>
    </r>
    <r>
      <rPr>
        <sz val="10"/>
        <color theme="1"/>
        <rFont val="Calibri"/>
        <family val="2"/>
        <scheme val="minor"/>
      </rPr>
      <t xml:space="preserve">, </t>
    </r>
    <r>
      <rPr>
        <sz val="9"/>
        <color theme="1"/>
        <rFont val="Calibri"/>
        <family val="2"/>
        <charset val="238"/>
        <scheme val="minor"/>
      </rPr>
      <t>Volumen tanka,</t>
    </r>
  </si>
  <si>
    <r>
      <rPr>
        <sz val="12"/>
        <color theme="1"/>
        <rFont val="Calibri"/>
        <family val="2"/>
        <charset val="238"/>
        <scheme val="minor"/>
      </rPr>
      <t>VB2</t>
    </r>
    <r>
      <rPr>
        <sz val="10"/>
        <color theme="1"/>
        <rFont val="Calibri"/>
        <family val="2"/>
        <scheme val="minor"/>
      </rPr>
      <t xml:space="preserve">, </t>
    </r>
    <r>
      <rPr>
        <sz val="9"/>
        <color theme="1"/>
        <rFont val="Calibri"/>
        <family val="2"/>
        <charset val="238"/>
        <scheme val="minor"/>
      </rPr>
      <t>Volumen balasta,</t>
    </r>
  </si>
  <si>
    <r>
      <rPr>
        <sz val="12"/>
        <color theme="1"/>
        <rFont val="Calibri"/>
        <family val="2"/>
        <charset val="238"/>
        <scheme val="minor"/>
      </rPr>
      <t>VS2</t>
    </r>
    <r>
      <rPr>
        <sz val="10"/>
        <color theme="1"/>
        <rFont val="Calibri"/>
        <family val="2"/>
        <scheme val="minor"/>
      </rPr>
      <t xml:space="preserve">, </t>
    </r>
    <r>
      <rPr>
        <sz val="9"/>
        <color theme="1"/>
        <rFont val="Calibri"/>
        <family val="2"/>
        <charset val="238"/>
        <scheme val="minor"/>
      </rPr>
      <t>Volumen smeća,</t>
    </r>
  </si>
  <si>
    <t>%smeća, PS</t>
  </si>
  <si>
    <t>&lt;- VS1*ros/1000*PS1/100</t>
  </si>
  <si>
    <t>&lt;- VS2*ros/1000*PS2/100</t>
  </si>
  <si>
    <t>&lt;- VS1*ro/1000*PB1/100</t>
  </si>
  <si>
    <t>&lt;- VS2*ro/1000*PB2/100</t>
  </si>
  <si>
    <t>R/2</t>
  </si>
  <si>
    <t>R1*PB1/100+(R-R1)</t>
  </si>
  <si>
    <t>R2*PB2/100+(R-R2)</t>
  </si>
  <si>
    <t xml:space="preserve">             VB1*ro/1000*PB2/100 -&gt;</t>
  </si>
  <si>
    <t xml:space="preserve">             VB1*ro/1000*PB1/100 -&gt;</t>
  </si>
  <si>
    <t>masa, smeća, MS</t>
  </si>
  <si>
    <t>masa, balasta, MB</t>
  </si>
  <si>
    <t>ukupno, MU</t>
  </si>
  <si>
    <t>(PS1/100/2*R*2*MS1+(PS1/100+PB1/100/2)*R*2*MB1)/MU</t>
  </si>
  <si>
    <t>(PS2/100/2*R*2*MS2+(PS2/100+PB2/100/2)*R*2*MB2)/MU</t>
  </si>
  <si>
    <t>XM</t>
  </si>
  <si>
    <t>L/2</t>
  </si>
  <si>
    <t>MU*zg</t>
  </si>
  <si>
    <t>MU*xg</t>
  </si>
  <si>
    <t>MOM, mx</t>
  </si>
  <si>
    <t>MOM, mz</t>
  </si>
  <si>
    <t>CT=CF*(1+k), koef. ukupnog otpora</t>
  </si>
  <si>
    <t>CB=VOL/(L*2R*2R), blok koef.</t>
  </si>
  <si>
    <t>k=-0.095+25.6 *CB/((L/2R)^2</t>
  </si>
  <si>
    <t>Fn=V/(g*L)^0.5</t>
  </si>
  <si>
    <t>Re=CT*0,5*ro*v^2*S/1000</t>
  </si>
  <si>
    <t>Kinematički viskozitet vode, ni=</t>
  </si>
  <si>
    <t>Pb1=Pe/(0,5*0,98)</t>
  </si>
  <si>
    <t>Service continues rating, 85% MCR</t>
  </si>
  <si>
    <t>k=-0.095+25.6 *CB/((L/2R)^2*(2R/2R)^0.5), koef. Utjecaja trupa</t>
  </si>
  <si>
    <t>Koef, čv. u m/s</t>
  </si>
  <si>
    <t>Definicije tankova</t>
  </si>
  <si>
    <t>%, balasta/mora PB</t>
  </si>
  <si>
    <t>VCB, Težište istisnine po visini</t>
  </si>
  <si>
    <t>LCB, Težište istisnine po duljini, L/2=</t>
  </si>
  <si>
    <t>Težište masa po visini, VCG</t>
  </si>
  <si>
    <t>Težište masa po duljini, LCG</t>
  </si>
  <si>
    <t>alfa_t, Kut trim ( mora biti blizu 0) = atan((L/2-LCG)/(VCB-VCG))</t>
  </si>
  <si>
    <t>KB= T/2</t>
  </si>
  <si>
    <t>Stabilitet podmornice u plovidbi</t>
  </si>
  <si>
    <t>alfa1, kut gornjeg otvora</t>
  </si>
  <si>
    <t>beta1, donji kut</t>
  </si>
  <si>
    <t>R1, unutrašnji radijus balastnih tankova</t>
  </si>
  <si>
    <t>XG1, težište tanka po duljini</t>
  </si>
  <si>
    <t>Pb= Pb1/0.85, ukupna potrebna snaga na vijku</t>
  </si>
  <si>
    <t>Ulazni parametri za pogon</t>
  </si>
  <si>
    <t>t/kW</t>
  </si>
  <si>
    <t>m3/kW</t>
  </si>
  <si>
    <t>SM, Specifična masa po kW pogona</t>
  </si>
  <si>
    <t>SV, Specifični volumen po kW pogona</t>
  </si>
  <si>
    <t>VM=Pb*SM, volumen pogona</t>
  </si>
  <si>
    <t>Prostor pogona</t>
  </si>
  <si>
    <t>LM=VM/(R^2*PI()), duljina prostora za pogon</t>
  </si>
  <si>
    <t>MM=Pb*SM, masa pogona</t>
  </si>
  <si>
    <t>L=</t>
  </si>
  <si>
    <t>Količina smeća u tnakovima, %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</si>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</sst>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/>
    <xf numFmtId="11" fontId="1" fillId="0" borderId="0" xfId="0" applyNumberFormat="1" applyFont="1"/>
    <xf numFmtId="0" fontId="6" fillId="0" borderId="0" xfId="0" applyFont="1"/>
    <xf numFmtId="0" fontId="7" fillId="0" borderId="0" xfId="0" applyFont="1"/>
    <xf numFmtId="0" fontId="1" fillId="0" borderId="0" xfId="0" quotePrefix="1" applyFont="1"/>
    <xf numFmtId="166" fontId="1" fillId="0" borderId="0" xfId="0" applyNumberFormat="1" applyFont="1"/>
    <xf numFmtId="0" fontId="8" fillId="0" borderId="0" xfId="0" applyFont="1"/>
    <xf numFmtId="2" fontId="8" fillId="0" borderId="0" xfId="0" applyNumberFormat="1" applyFont="1"/>
    <xf numFmtId="164" fontId="8" fillId="0" borderId="0" xfId="0" applyNumberFormat="1" applyFont="1"/>
    <xf numFmtId="2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Podmornica!$A$61</c:f>
              <c:strCache>
                <c:ptCount val="1"/>
                <c:pt idx="0">
                  <c:v>balast 1</c:v>
                </c:pt>
              </c:strCache>
            </c:strRef>
          </c:tx>
          <c:xVal>
            <c:numRef>
              <c:f>Podmornica!$Q$57:$V$57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Podmornica!$Q$61:$V$61</c:f>
              <c:numCache>
                <c:formatCode>0.00</c:formatCode>
                <c:ptCount val="6"/>
                <c:pt idx="0">
                  <c:v>33.314798646876582</c:v>
                </c:pt>
                <c:pt idx="1">
                  <c:v>33.23362649755061</c:v>
                </c:pt>
                <c:pt idx="2">
                  <c:v>31.322543082575475</c:v>
                </c:pt>
                <c:pt idx="3">
                  <c:v>31.263442976830937</c:v>
                </c:pt>
                <c:pt idx="4">
                  <c:v>30.037863642465016</c:v>
                </c:pt>
                <c:pt idx="5">
                  <c:v>29.96682388813597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81-404D-9741-84304A40B668}"/>
            </c:ext>
          </c:extLst>
        </c:ser>
        <c:ser>
          <c:idx val="2"/>
          <c:order val="1"/>
          <c:tx>
            <c:strRef>
              <c:f>Podmornica!$A$62</c:f>
              <c:strCache>
                <c:ptCount val="1"/>
                <c:pt idx="0">
                  <c:v>balast 2</c:v>
                </c:pt>
              </c:strCache>
            </c:strRef>
          </c:tx>
          <c:xVal>
            <c:numRef>
              <c:f>Podmornica!$Q$57:$V$57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Podmornica!$Q$62:$V$62</c:f>
              <c:numCache>
                <c:formatCode>0.00</c:formatCode>
                <c:ptCount val="6"/>
                <c:pt idx="0">
                  <c:v>23.12922295003467</c:v>
                </c:pt>
                <c:pt idx="1">
                  <c:v>23.153743297469486</c:v>
                </c:pt>
                <c:pt idx="2">
                  <c:v>21.28055948051755</c:v>
                </c:pt>
                <c:pt idx="3">
                  <c:v>21.29768032897255</c:v>
                </c:pt>
                <c:pt idx="4">
                  <c:v>20.523472784352336</c:v>
                </c:pt>
                <c:pt idx="5">
                  <c:v>20.544291616938935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81-404D-9741-84304A40B668}"/>
            </c:ext>
          </c:extLst>
        </c:ser>
        <c:ser>
          <c:idx val="3"/>
          <c:order val="2"/>
          <c:tx>
            <c:strRef>
              <c:f>Podmornica!$A$63</c:f>
              <c:strCache>
                <c:ptCount val="1"/>
                <c:pt idx="0">
                  <c:v>smeće 1</c:v>
                </c:pt>
              </c:strCache>
            </c:strRef>
          </c:tx>
          <c:xVal>
            <c:numRef>
              <c:f>Podmornica!$Q$57:$V$57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Podmornica!$Q$63:$V$63</c:f>
              <c:numCache>
                <c:formatCode>0.00</c:formatCode>
                <c:ptCount val="6"/>
                <c:pt idx="0">
                  <c:v>20.383901434512666</c:v>
                </c:pt>
                <c:pt idx="1">
                  <c:v>21.477671755388954</c:v>
                </c:pt>
                <c:pt idx="2">
                  <c:v>22.571442076265242</c:v>
                </c:pt>
                <c:pt idx="3">
                  <c:v>23.665212397141534</c:v>
                </c:pt>
                <c:pt idx="4">
                  <c:v>24.758982718017823</c:v>
                </c:pt>
                <c:pt idx="5">
                  <c:v>25.852753038894111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81-404D-9741-84304A40B668}"/>
            </c:ext>
          </c:extLst>
        </c:ser>
        <c:ser>
          <c:idx val="4"/>
          <c:order val="3"/>
          <c:tx>
            <c:strRef>
              <c:f>Podmornica!$A$64</c:f>
              <c:strCache>
                <c:ptCount val="1"/>
                <c:pt idx="0">
                  <c:v>smeće 2</c:v>
                </c:pt>
              </c:strCache>
            </c:strRef>
          </c:tx>
          <c:xVal>
            <c:numRef>
              <c:f>Podmornica!$Q$57:$V$57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Podmornica!$Q$64:$V$64</c:f>
              <c:numCache>
                <c:formatCode>0.00</c:formatCode>
                <c:ptCount val="6"/>
                <c:pt idx="0">
                  <c:v>20.383901434512666</c:v>
                </c:pt>
                <c:pt idx="1">
                  <c:v>21.477671755388954</c:v>
                </c:pt>
                <c:pt idx="2">
                  <c:v>22.571442076265242</c:v>
                </c:pt>
                <c:pt idx="3">
                  <c:v>23.665212397141534</c:v>
                </c:pt>
                <c:pt idx="4">
                  <c:v>24.758982718017823</c:v>
                </c:pt>
                <c:pt idx="5">
                  <c:v>25.852753038894111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81-404D-9741-84304A40B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0884880"/>
        <c:axId val="-1840883792"/>
      </c:scatterChart>
      <c:valAx>
        <c:axId val="-184088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40883792"/>
        <c:crosses val="autoZero"/>
        <c:crossBetween val="midCat"/>
      </c:valAx>
      <c:valAx>
        <c:axId val="-1840883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840884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184083</xdr:colOff>
      <xdr:row>67</xdr:row>
      <xdr:rowOff>205215</xdr:rowOff>
    </xdr:from>
    <xdr:to>
      <xdr:col>23</xdr:col>
      <xdr:colOff>425210</xdr:colOff>
      <xdr:row>80</xdr:row>
      <xdr:rowOff>124046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36</xdr:row>
      <xdr:rowOff>0</xdr:rowOff>
    </xdr:from>
    <xdr:to>
      <xdr:col>24</xdr:col>
      <xdr:colOff>251559</xdr:colOff>
      <xdr:row>48</xdr:row>
      <xdr:rowOff>155425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15182" y="8312727"/>
          <a:ext cx="5931922" cy="2926334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36</xdr:row>
      <xdr:rowOff>0</xdr:rowOff>
    </xdr:from>
    <xdr:to>
      <xdr:col>35</xdr:col>
      <xdr:colOff>314736</xdr:colOff>
      <xdr:row>48</xdr:row>
      <xdr:rowOff>155425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42455" y="8312727"/>
          <a:ext cx="5925826" cy="2926334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36</xdr:row>
      <xdr:rowOff>0</xdr:rowOff>
    </xdr:from>
    <xdr:to>
      <xdr:col>46</xdr:col>
      <xdr:colOff>314736</xdr:colOff>
      <xdr:row>48</xdr:row>
      <xdr:rowOff>155425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500455" y="8312727"/>
          <a:ext cx="5925826" cy="29263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25"/>
  <sheetViews>
    <sheetView tabSelected="1" defaultGridColor="0" colorId="8" zoomScale="70" zoomScaleNormal="70" zoomScaleSheetLayoutView="100" workbookViewId="0">
      <selection activeCell="D41" sqref="D41"/>
    </sheetView>
  </sheetViews>
  <sheetFormatPr defaultColWidth="8.85546875" defaultRowHeight="18.75" x14ac:dyDescent="0.3"/>
  <cols>
    <col min="1" max="1" width="35.85546875" style="1" customWidth="1"/>
    <col min="2" max="2" width="21.140625" style="1" customWidth="1"/>
    <col min="3" max="3" width="22.7109375" style="1" customWidth="1"/>
    <col min="4" max="4" width="21.85546875" style="1" customWidth="1"/>
    <col min="5" max="5" width="22" style="1" customWidth="1"/>
    <col min="6" max="6" width="27.140625" style="1" customWidth="1"/>
    <col min="7" max="7" width="21.5703125" style="1" customWidth="1"/>
    <col min="8" max="8" width="17.140625" style="1" customWidth="1"/>
    <col min="9" max="9" width="11.85546875" style="1" bestFit="1" customWidth="1"/>
    <col min="10" max="10" width="43.5703125" style="1" hidden="1" customWidth="1"/>
    <col min="11" max="11" width="13.85546875" style="1" customWidth="1"/>
    <col min="12" max="12" width="9" style="1" customWidth="1"/>
    <col min="13" max="13" width="12.85546875" style="1" customWidth="1"/>
    <col min="14" max="14" width="13" style="1" customWidth="1"/>
    <col min="15" max="16" width="8.85546875" style="1"/>
    <col min="17" max="22" width="10.5703125" style="1" bestFit="1" customWidth="1"/>
    <col min="23" max="16384" width="8.85546875" style="1"/>
  </cols>
  <sheetData>
    <row r="1" spans="1:4" x14ac:dyDescent="0.3">
      <c r="A1" s="1" t="s">
        <v>2</v>
      </c>
      <c r="C1" s="1">
        <v>1025</v>
      </c>
      <c r="D1" s="1" t="s">
        <v>3</v>
      </c>
    </row>
    <row r="2" spans="1:4" x14ac:dyDescent="0.3">
      <c r="A2" s="1" t="s">
        <v>39</v>
      </c>
      <c r="C2" s="1">
        <v>7850</v>
      </c>
      <c r="D2" s="1" t="s">
        <v>3</v>
      </c>
    </row>
    <row r="3" spans="1:4" x14ac:dyDescent="0.3">
      <c r="A3" s="1" t="s">
        <v>71</v>
      </c>
      <c r="C3" s="1">
        <v>1300</v>
      </c>
      <c r="D3" s="1" t="s">
        <v>3</v>
      </c>
    </row>
    <row r="4" spans="1:4" x14ac:dyDescent="0.3">
      <c r="A4" s="1" t="s">
        <v>4</v>
      </c>
      <c r="C4" s="1">
        <v>9.81</v>
      </c>
      <c r="D4" s="1" t="s">
        <v>5</v>
      </c>
    </row>
    <row r="5" spans="1:4" x14ac:dyDescent="0.3">
      <c r="A5" s="1" t="s">
        <v>6</v>
      </c>
      <c r="C5" s="1">
        <v>100</v>
      </c>
      <c r="D5" s="1" t="s">
        <v>0</v>
      </c>
    </row>
    <row r="7" spans="1:4" x14ac:dyDescent="0.3">
      <c r="A7" s="1" t="s">
        <v>1</v>
      </c>
      <c r="C7" s="1">
        <f>C1*C4*C5</f>
        <v>1005525</v>
      </c>
      <c r="D7" s="1" t="s">
        <v>8</v>
      </c>
    </row>
    <row r="8" spans="1:4" x14ac:dyDescent="0.3">
      <c r="C8" s="2">
        <f>C7/C9</f>
        <v>10.055249999999999</v>
      </c>
      <c r="D8" s="1" t="s">
        <v>9</v>
      </c>
    </row>
    <row r="9" spans="1:4" x14ac:dyDescent="0.3">
      <c r="A9" s="1" t="s">
        <v>7</v>
      </c>
      <c r="C9" s="1">
        <v>100000</v>
      </c>
      <c r="D9" s="1" t="s">
        <v>8</v>
      </c>
    </row>
    <row r="11" spans="1:4" x14ac:dyDescent="0.3">
      <c r="A11" s="1" t="s">
        <v>10</v>
      </c>
    </row>
    <row r="12" spans="1:4" x14ac:dyDescent="0.3">
      <c r="A12" s="1" t="s">
        <v>47</v>
      </c>
      <c r="C12" s="1">
        <v>18</v>
      </c>
      <c r="D12" s="1" t="s">
        <v>0</v>
      </c>
    </row>
    <row r="13" spans="1:4" x14ac:dyDescent="0.3">
      <c r="A13" s="1" t="s">
        <v>11</v>
      </c>
      <c r="C13" s="1">
        <v>1.5</v>
      </c>
      <c r="D13" s="1" t="s">
        <v>0</v>
      </c>
    </row>
    <row r="14" spans="1:4" x14ac:dyDescent="0.3">
      <c r="A14" s="1" t="s">
        <v>76</v>
      </c>
      <c r="C14" s="1">
        <f>C12+2*C13</f>
        <v>21</v>
      </c>
    </row>
    <row r="15" spans="1:4" x14ac:dyDescent="0.3">
      <c r="A15" s="1" t="s">
        <v>118</v>
      </c>
      <c r="C15" s="4">
        <f>C26/(C14*2*C13*2*C13)</f>
        <v>0.74799825085471272</v>
      </c>
    </row>
    <row r="18" spans="1:42" x14ac:dyDescent="0.3">
      <c r="A18" s="1" t="s">
        <v>12</v>
      </c>
    </row>
    <row r="19" spans="1:42" x14ac:dyDescent="0.3">
      <c r="A19" s="1" t="s">
        <v>19</v>
      </c>
      <c r="C19" s="2">
        <f>2*C13*PI()*C12</f>
        <v>169.64600329384882</v>
      </c>
      <c r="D19" s="1" t="s">
        <v>13</v>
      </c>
    </row>
    <row r="20" spans="1:42" x14ac:dyDescent="0.3">
      <c r="A20" s="1" t="s">
        <v>18</v>
      </c>
      <c r="C20" s="2">
        <f>4*C13^2*PI()</f>
        <v>28.274333882308138</v>
      </c>
      <c r="D20" s="1" t="s">
        <v>13</v>
      </c>
    </row>
    <row r="21" spans="1:42" x14ac:dyDescent="0.3">
      <c r="A21" s="1" t="s">
        <v>28</v>
      </c>
      <c r="C21" s="2">
        <f>C19+C20</f>
        <v>197.92033717615695</v>
      </c>
      <c r="D21" s="1" t="s">
        <v>13</v>
      </c>
    </row>
    <row r="22" spans="1:42" x14ac:dyDescent="0.3">
      <c r="Q22" s="1" t="s">
        <v>150</v>
      </c>
      <c r="R22" s="1">
        <v>14</v>
      </c>
      <c r="S22" s="1" t="s">
        <v>0</v>
      </c>
      <c r="Z22" s="1" t="s">
        <v>150</v>
      </c>
      <c r="AA22" s="1">
        <v>17.5</v>
      </c>
      <c r="AB22" s="1" t="s">
        <v>0</v>
      </c>
      <c r="AK22" s="1" t="s">
        <v>150</v>
      </c>
      <c r="AL22" s="1">
        <v>21</v>
      </c>
      <c r="AM22" s="1" t="s">
        <v>0</v>
      </c>
    </row>
    <row r="23" spans="1:42" x14ac:dyDescent="0.3">
      <c r="A23" s="1" t="s">
        <v>14</v>
      </c>
      <c r="Q23" s="1" t="s">
        <v>152</v>
      </c>
      <c r="R23" s="1">
        <v>1</v>
      </c>
      <c r="S23" s="1" t="s">
        <v>0</v>
      </c>
      <c r="Z23" s="1" t="s">
        <v>152</v>
      </c>
      <c r="AA23" s="1">
        <v>1.25</v>
      </c>
      <c r="AB23" s="1" t="s">
        <v>0</v>
      </c>
      <c r="AK23" s="1" t="s">
        <v>152</v>
      </c>
      <c r="AL23" s="1">
        <v>1.5</v>
      </c>
      <c r="AM23" s="1" t="s">
        <v>0</v>
      </c>
    </row>
    <row r="24" spans="1:42" x14ac:dyDescent="0.3">
      <c r="A24" s="1" t="s">
        <v>15</v>
      </c>
      <c r="C24" s="2">
        <f>C13^2*PI()*C12</f>
        <v>127.23450247038662</v>
      </c>
      <c r="D24" s="1" t="s">
        <v>16</v>
      </c>
      <c r="Q24" s="1" t="s">
        <v>151</v>
      </c>
      <c r="Z24" s="1" t="s">
        <v>151</v>
      </c>
      <c r="AK24" s="1" t="s">
        <v>151</v>
      </c>
    </row>
    <row r="25" spans="1:42" x14ac:dyDescent="0.3">
      <c r="A25" s="1" t="s">
        <v>17</v>
      </c>
      <c r="C25" s="2">
        <f>4/3*C13^3*PI()</f>
        <v>14.137166941154069</v>
      </c>
      <c r="D25" s="1" t="s">
        <v>16</v>
      </c>
      <c r="Q25" s="1">
        <v>0</v>
      </c>
      <c r="R25" s="1">
        <v>20</v>
      </c>
      <c r="S25" s="1">
        <v>40</v>
      </c>
      <c r="T25" s="1">
        <v>60</v>
      </c>
      <c r="U25" s="1">
        <v>80</v>
      </c>
      <c r="V25" s="1">
        <v>100</v>
      </c>
      <c r="Z25" s="1">
        <v>0</v>
      </c>
      <c r="AA25" s="1">
        <v>20</v>
      </c>
      <c r="AB25" s="1">
        <v>40</v>
      </c>
      <c r="AC25" s="1">
        <v>60</v>
      </c>
      <c r="AD25" s="1">
        <v>80</v>
      </c>
      <c r="AE25" s="1">
        <v>100</v>
      </c>
      <c r="AK25" s="1">
        <v>0</v>
      </c>
      <c r="AL25" s="1">
        <v>20</v>
      </c>
      <c r="AM25" s="1">
        <v>40</v>
      </c>
      <c r="AN25" s="1">
        <v>60</v>
      </c>
      <c r="AO25" s="1">
        <v>80</v>
      </c>
      <c r="AP25" s="1">
        <v>100</v>
      </c>
    </row>
    <row r="26" spans="1:42" x14ac:dyDescent="0.3">
      <c r="A26" s="1" t="s">
        <v>45</v>
      </c>
      <c r="C26" s="2">
        <f>C24+C25</f>
        <v>141.37166941154069</v>
      </c>
      <c r="D26" s="1" t="s">
        <v>16</v>
      </c>
    </row>
    <row r="27" spans="1:42" x14ac:dyDescent="0.3">
      <c r="A27" s="1" t="s">
        <v>44</v>
      </c>
      <c r="C27" s="2">
        <f>C26*C1/1000</f>
        <v>144.90596114682921</v>
      </c>
      <c r="D27" s="1" t="s">
        <v>37</v>
      </c>
      <c r="Q27" s="2">
        <v>7.754196234911773</v>
      </c>
      <c r="R27" s="2">
        <v>7.754196234911773</v>
      </c>
      <c r="S27" s="2">
        <v>7.754196234911773</v>
      </c>
      <c r="T27" s="2">
        <v>7.754196234911773</v>
      </c>
      <c r="U27" s="2">
        <v>7.754196234911773</v>
      </c>
      <c r="V27" s="2">
        <v>7.754196234911773</v>
      </c>
      <c r="Z27" s="2">
        <v>11.638593351892611</v>
      </c>
      <c r="AA27" s="2">
        <v>11.638593351892611</v>
      </c>
      <c r="AB27" s="2">
        <v>11.638593351892611</v>
      </c>
      <c r="AC27" s="2">
        <v>11.638593351892611</v>
      </c>
      <c r="AD27" s="2">
        <v>11.638593351892611</v>
      </c>
      <c r="AE27" s="2">
        <v>11.638593351892611</v>
      </c>
      <c r="AK27" s="2">
        <v>16.239459501620495</v>
      </c>
      <c r="AL27" s="2">
        <v>16.239459501620495</v>
      </c>
      <c r="AM27" s="2">
        <v>16.239459501620495</v>
      </c>
      <c r="AN27" s="2">
        <v>16.239459501620495</v>
      </c>
      <c r="AO27" s="2">
        <v>16.239459501620495</v>
      </c>
      <c r="AP27" s="2">
        <v>16.239459501620495</v>
      </c>
    </row>
    <row r="28" spans="1:42" x14ac:dyDescent="0.3">
      <c r="A28" s="1" t="s">
        <v>20</v>
      </c>
      <c r="E28" s="6" t="s">
        <v>78</v>
      </c>
      <c r="Q28" s="2">
        <v>8.2986683221764856</v>
      </c>
      <c r="R28" s="2">
        <v>8.2986683221764856</v>
      </c>
      <c r="S28" s="2">
        <v>8.2986683221764856</v>
      </c>
      <c r="T28" s="2">
        <v>8.2986683221764856</v>
      </c>
      <c r="U28" s="2">
        <v>8.2986683221764856</v>
      </c>
      <c r="V28" s="2">
        <v>8.2986683221764856</v>
      </c>
      <c r="Z28" s="2">
        <v>16.208336566750951</v>
      </c>
      <c r="AA28" s="2">
        <v>16.208336566750951</v>
      </c>
      <c r="AB28" s="2">
        <v>16.208336566750951</v>
      </c>
      <c r="AC28" s="2">
        <v>16.208336566750951</v>
      </c>
      <c r="AD28" s="2">
        <v>16.208336566750951</v>
      </c>
      <c r="AE28" s="2">
        <v>16.208336566750951</v>
      </c>
      <c r="AK28" s="2">
        <v>28.008005587345632</v>
      </c>
      <c r="AL28" s="2">
        <v>28.008005587345632</v>
      </c>
      <c r="AM28" s="2">
        <v>28.008005587345632</v>
      </c>
      <c r="AN28" s="2">
        <v>28.008005587345632</v>
      </c>
      <c r="AO28" s="2">
        <v>28.008005587345632</v>
      </c>
      <c r="AP28" s="2">
        <v>28.008005587345632</v>
      </c>
    </row>
    <row r="29" spans="1:42" x14ac:dyDescent="0.3">
      <c r="A29" s="1" t="s">
        <v>38</v>
      </c>
      <c r="C29" s="2">
        <f>C30*C31/(10*C32*C33-0.5*C30)</f>
        <v>24.230055707059361</v>
      </c>
      <c r="D29" s="2"/>
      <c r="E29" s="2">
        <f>C30*C31/(20*C32+C30)</f>
        <v>12.017962552816316</v>
      </c>
      <c r="Q29" s="2">
        <v>6.7630525041953318</v>
      </c>
      <c r="R29" s="2">
        <v>6.485684453325292</v>
      </c>
      <c r="S29" s="2">
        <v>6.2093045761858274</v>
      </c>
      <c r="T29" s="2">
        <v>5.9338264541396404</v>
      </c>
      <c r="U29" s="2">
        <v>5.6591998528179168</v>
      </c>
      <c r="V29" s="2">
        <v>5.385368621367431</v>
      </c>
      <c r="Z29" s="2">
        <v>17.455897116242756</v>
      </c>
      <c r="AA29" s="2">
        <v>16.914352864380614</v>
      </c>
      <c r="AB29" s="2">
        <v>15.850882162139071</v>
      </c>
      <c r="AC29" s="2">
        <v>15.149962009507986</v>
      </c>
      <c r="AD29" s="2">
        <v>14.775265375004439</v>
      </c>
      <c r="AE29" s="2">
        <v>14.416334521123225</v>
      </c>
      <c r="AK29" s="2">
        <v>33.314798646876582</v>
      </c>
      <c r="AL29" s="2">
        <v>33.23362649755061</v>
      </c>
      <c r="AM29" s="2">
        <v>31.322543082575475</v>
      </c>
      <c r="AN29" s="2">
        <v>31.263442976830937</v>
      </c>
      <c r="AO29" s="2">
        <v>30.037863642465016</v>
      </c>
      <c r="AP29" s="2">
        <v>29.96682388813597</v>
      </c>
    </row>
    <row r="30" spans="1:42" x14ac:dyDescent="0.3">
      <c r="A30" s="1" t="s">
        <v>21</v>
      </c>
      <c r="C30" s="2">
        <f>C8</f>
        <v>10.055249999999999</v>
      </c>
      <c r="D30" s="1" t="s">
        <v>9</v>
      </c>
      <c r="Q30" s="2">
        <v>2.0414427444984358</v>
      </c>
      <c r="R30" s="2">
        <v>2.0520304408603103</v>
      </c>
      <c r="S30" s="2">
        <v>2.0644154565257065</v>
      </c>
      <c r="T30" s="2">
        <v>2.0783980438482383</v>
      </c>
      <c r="U30" s="2">
        <v>2.0938634560610692</v>
      </c>
      <c r="V30" s="2">
        <v>2.1106827609654131</v>
      </c>
      <c r="Z30" s="2">
        <v>10.434206606590473</v>
      </c>
      <c r="AA30" s="2">
        <v>10.227711974017806</v>
      </c>
      <c r="AB30" s="2">
        <v>8.5535608664514609</v>
      </c>
      <c r="AC30" s="2">
        <v>8.2713083908488994</v>
      </c>
      <c r="AD30" s="2">
        <v>8.2036551324221634</v>
      </c>
      <c r="AE30" s="2">
        <v>8.1588303369462842</v>
      </c>
      <c r="AK30" s="2">
        <v>23.12922295003467</v>
      </c>
      <c r="AL30" s="2">
        <v>23.153743297469486</v>
      </c>
      <c r="AM30" s="2">
        <v>21.28055948051755</v>
      </c>
      <c r="AN30" s="2">
        <v>21.29768032897255</v>
      </c>
      <c r="AO30" s="2">
        <v>20.523472784352336</v>
      </c>
      <c r="AP30" s="2">
        <v>20.544291616938935</v>
      </c>
    </row>
    <row r="31" spans="1:42" x14ac:dyDescent="0.3">
      <c r="A31" s="1" t="s">
        <v>77</v>
      </c>
      <c r="C31" s="1">
        <f>C13*2*1000</f>
        <v>3000</v>
      </c>
      <c r="D31" s="1" t="s">
        <v>25</v>
      </c>
      <c r="Q31" s="2">
        <v>9.2814052588764557</v>
      </c>
      <c r="R31" s="2">
        <v>9.7794318825234843</v>
      </c>
      <c r="S31" s="2">
        <v>10.277458506170515</v>
      </c>
      <c r="T31" s="2">
        <v>10.775485129817543</v>
      </c>
      <c r="U31" s="2">
        <v>11.273511753464573</v>
      </c>
      <c r="V31" s="2">
        <v>11.771538377111602</v>
      </c>
      <c r="Z31" s="2">
        <v>14.108636558100221</v>
      </c>
      <c r="AA31" s="2">
        <v>14.865685349022669</v>
      </c>
      <c r="AB31" s="2">
        <v>15.62273413994512</v>
      </c>
      <c r="AC31" s="2">
        <v>16.37978293086757</v>
      </c>
      <c r="AD31" s="2">
        <v>17.136831721790021</v>
      </c>
      <c r="AE31" s="2">
        <v>17.893880512712471</v>
      </c>
      <c r="AK31" s="2">
        <v>20.383901434512666</v>
      </c>
      <c r="AL31" s="2">
        <v>21.477671755388954</v>
      </c>
      <c r="AM31" s="2">
        <v>22.571442076265242</v>
      </c>
      <c r="AN31" s="2">
        <v>23.665212397141534</v>
      </c>
      <c r="AO31" s="2">
        <v>24.758982718017823</v>
      </c>
      <c r="AP31" s="2">
        <v>25.852753038894111</v>
      </c>
    </row>
    <row r="32" spans="1:42" x14ac:dyDescent="0.3">
      <c r="A32" s="1" t="s">
        <v>22</v>
      </c>
      <c r="C32" s="1">
        <v>125</v>
      </c>
      <c r="D32" s="1" t="s">
        <v>23</v>
      </c>
      <c r="Q32" s="2">
        <v>9.2814052588764557</v>
      </c>
      <c r="R32" s="2">
        <v>9.7794318825234843</v>
      </c>
      <c r="S32" s="2">
        <v>10.277458506170515</v>
      </c>
      <c r="T32" s="2">
        <v>10.775485129817543</v>
      </c>
      <c r="U32" s="2">
        <v>11.273511753464573</v>
      </c>
      <c r="V32" s="2">
        <v>11.771538377111602</v>
      </c>
      <c r="Z32" s="2">
        <v>14.108636558100221</v>
      </c>
      <c r="AA32" s="2">
        <v>14.865685349022669</v>
      </c>
      <c r="AB32" s="2">
        <v>15.62273413994512</v>
      </c>
      <c r="AC32" s="2">
        <v>16.37978293086757</v>
      </c>
      <c r="AD32" s="2">
        <v>17.136831721790021</v>
      </c>
      <c r="AE32" s="2">
        <v>17.893880512712471</v>
      </c>
      <c r="AK32" s="2">
        <v>20.383901434512666</v>
      </c>
      <c r="AL32" s="2">
        <v>21.477671755388954</v>
      </c>
      <c r="AM32" s="2">
        <v>22.571442076265242</v>
      </c>
      <c r="AN32" s="2">
        <v>23.665212397141534</v>
      </c>
      <c r="AO32" s="2">
        <v>24.758982718017823</v>
      </c>
      <c r="AP32" s="2">
        <v>25.852753038894111</v>
      </c>
    </row>
    <row r="33" spans="1:42" x14ac:dyDescent="0.3">
      <c r="A33" s="1" t="s">
        <v>24</v>
      </c>
      <c r="C33" s="1">
        <v>1</v>
      </c>
      <c r="Q33" s="2"/>
      <c r="R33" s="2"/>
      <c r="S33" s="2"/>
      <c r="T33" s="2"/>
      <c r="U33" s="2"/>
      <c r="V33" s="2"/>
      <c r="Z33" s="2"/>
      <c r="AA33" s="2"/>
      <c r="AB33" s="2"/>
      <c r="AC33" s="2"/>
      <c r="AD33" s="2"/>
      <c r="AE33" s="2"/>
      <c r="AK33" s="2"/>
      <c r="AL33" s="2"/>
      <c r="AM33" s="2"/>
      <c r="AN33" s="2"/>
      <c r="AO33" s="2"/>
      <c r="AP33" s="2"/>
    </row>
    <row r="34" spans="1:42" x14ac:dyDescent="0.3">
      <c r="Q34" s="2">
        <v>43.42017032353494</v>
      </c>
      <c r="R34" s="2">
        <v>44.149443216320826</v>
      </c>
      <c r="S34" s="2">
        <v>44.88150160214083</v>
      </c>
      <c r="T34" s="2">
        <v>45.616059314711222</v>
      </c>
      <c r="U34" s="2">
        <v>46.352951372896392</v>
      </c>
      <c r="V34" s="2">
        <v>47.091992693644308</v>
      </c>
      <c r="Z34" s="2">
        <v>83.95430675767723</v>
      </c>
      <c r="AA34" s="2">
        <v>84.720365455087318</v>
      </c>
      <c r="AB34" s="2">
        <v>83.496841227124335</v>
      </c>
      <c r="AC34" s="2">
        <v>84.027766180735597</v>
      </c>
      <c r="AD34" s="2">
        <v>85.099513869650195</v>
      </c>
      <c r="AE34" s="2">
        <v>86.209855802138009</v>
      </c>
      <c r="AK34" s="2">
        <v>141.45928955490271</v>
      </c>
      <c r="AL34" s="2">
        <v>143.59017839476411</v>
      </c>
      <c r="AM34" s="2">
        <v>141.99345180458965</v>
      </c>
      <c r="AN34" s="2">
        <v>144.13901318905266</v>
      </c>
      <c r="AO34" s="2">
        <v>144.32676695181911</v>
      </c>
      <c r="AP34" s="2">
        <v>146.46408667182925</v>
      </c>
    </row>
    <row r="35" spans="1:42" x14ac:dyDescent="0.3">
      <c r="A35" s="1" t="s">
        <v>89</v>
      </c>
      <c r="Q35" s="2">
        <v>42.935099599060507</v>
      </c>
      <c r="R35" s="2">
        <v>42.935099599060507</v>
      </c>
      <c r="S35" s="2">
        <v>42.935099599060507</v>
      </c>
      <c r="T35" s="2">
        <v>42.935099599060507</v>
      </c>
      <c r="U35" s="2">
        <v>42.935099599060507</v>
      </c>
      <c r="V35" s="2">
        <v>42.935099599060507</v>
      </c>
      <c r="Z35" s="2">
        <v>82.180464076326757</v>
      </c>
      <c r="AA35" s="2">
        <v>82.180464076326757</v>
      </c>
      <c r="AB35" s="2">
        <v>82.180464076326757</v>
      </c>
      <c r="AC35" s="2">
        <v>82.180464076326757</v>
      </c>
      <c r="AD35" s="2">
        <v>82.180464076326757</v>
      </c>
      <c r="AE35" s="2">
        <v>82.180464076326757</v>
      </c>
      <c r="AK35" s="2">
        <v>140.0757624419349</v>
      </c>
      <c r="AL35" s="2">
        <v>140.0757624419349</v>
      </c>
      <c r="AM35" s="2">
        <v>140.0757624419349</v>
      </c>
      <c r="AN35" s="2">
        <v>140.0757624419349</v>
      </c>
      <c r="AO35" s="2">
        <v>140.0757624419349</v>
      </c>
      <c r="AP35" s="2">
        <v>140.0757624419349</v>
      </c>
    </row>
    <row r="36" spans="1:42" x14ac:dyDescent="0.3">
      <c r="A36" s="5" t="s">
        <v>79</v>
      </c>
      <c r="E36" s="2">
        <f>C21*E29/1000*C2/1000*1.5</f>
        <v>28.008005587345632</v>
      </c>
      <c r="F36" s="1" t="s">
        <v>37</v>
      </c>
    </row>
    <row r="40" spans="1:42" x14ac:dyDescent="0.3">
      <c r="A40" s="1" t="s">
        <v>26</v>
      </c>
    </row>
    <row r="41" spans="1:42" x14ac:dyDescent="0.3">
      <c r="A41" s="1" t="s">
        <v>30</v>
      </c>
      <c r="D41" s="1">
        <v>7</v>
      </c>
      <c r="E41" s="1" t="s">
        <v>31</v>
      </c>
      <c r="F41" s="1" t="s">
        <v>126</v>
      </c>
      <c r="G41" s="4">
        <f>1852/3600</f>
        <v>0.51444444444444448</v>
      </c>
    </row>
    <row r="42" spans="1:42" x14ac:dyDescent="0.3">
      <c r="A42" s="1" t="s">
        <v>30</v>
      </c>
      <c r="D42" s="3">
        <f>D41*G41</f>
        <v>3.6011111111111114</v>
      </c>
      <c r="E42" s="1" t="s">
        <v>32</v>
      </c>
    </row>
    <row r="43" spans="1:42" x14ac:dyDescent="0.3">
      <c r="A43" s="1" t="s">
        <v>120</v>
      </c>
      <c r="D43" s="3">
        <f>D42/SQRT(9.08665*C14)</f>
        <v>0.26069036139361301</v>
      </c>
    </row>
    <row r="44" spans="1:42" x14ac:dyDescent="0.3">
      <c r="A44" s="1" t="s">
        <v>27</v>
      </c>
      <c r="D44" s="7">
        <f>0.075/(LOG10(D45)-2)^2</f>
        <v>2.2262593828367271E-3</v>
      </c>
    </row>
    <row r="45" spans="1:42" x14ac:dyDescent="0.3">
      <c r="A45" s="1" t="s">
        <v>34</v>
      </c>
      <c r="D45" s="7">
        <f>D42*(C14)/D46</f>
        <v>63709632.12580736</v>
      </c>
      <c r="F45" s="6"/>
      <c r="G45" s="4"/>
    </row>
    <row r="46" spans="1:42" x14ac:dyDescent="0.3">
      <c r="A46" s="1" t="s">
        <v>122</v>
      </c>
      <c r="D46" s="7">
        <v>1.187E-6</v>
      </c>
      <c r="E46" s="1" t="s">
        <v>33</v>
      </c>
      <c r="F46" s="6"/>
      <c r="G46" s="4"/>
    </row>
    <row r="47" spans="1:42" x14ac:dyDescent="0.3">
      <c r="A47" s="1" t="s">
        <v>117</v>
      </c>
      <c r="D47" s="7">
        <f>D44*(1+D49)</f>
        <v>2.884766700290821E-3</v>
      </c>
      <c r="F47" s="6"/>
      <c r="G47" s="4"/>
    </row>
    <row r="48" spans="1:42" x14ac:dyDescent="0.3">
      <c r="A48" s="10" t="s">
        <v>125</v>
      </c>
      <c r="D48" s="7"/>
      <c r="F48" s="6"/>
      <c r="G48" s="4"/>
    </row>
    <row r="49" spans="1:31" x14ac:dyDescent="0.3">
      <c r="A49" s="10" t="s">
        <v>119</v>
      </c>
      <c r="D49" s="3">
        <f>-0.095+25.6*C15/(C14/(2*C13))^2</f>
        <v>0.29579092289552333</v>
      </c>
      <c r="G49" s="4"/>
    </row>
    <row r="50" spans="1:31" x14ac:dyDescent="0.3">
      <c r="A50" s="1" t="s">
        <v>121</v>
      </c>
      <c r="D50" s="2">
        <f>D47*0.5*C1*D42^2*C21/1000</f>
        <v>3.7946177273336983</v>
      </c>
      <c r="E50" s="1" t="s">
        <v>36</v>
      </c>
      <c r="G50" s="3"/>
    </row>
    <row r="51" spans="1:31" x14ac:dyDescent="0.3">
      <c r="A51" s="1" t="s">
        <v>29</v>
      </c>
      <c r="D51" s="2">
        <f>D50*D42</f>
        <v>13.664840060320575</v>
      </c>
      <c r="E51" s="1" t="s">
        <v>35</v>
      </c>
      <c r="G51" s="3"/>
    </row>
    <row r="52" spans="1:31" x14ac:dyDescent="0.3">
      <c r="A52" s="1" t="s">
        <v>123</v>
      </c>
      <c r="D52" s="2">
        <f>D51/(0.5*0.98)</f>
        <v>27.887428694531785</v>
      </c>
      <c r="E52" s="1" t="s">
        <v>35</v>
      </c>
    </row>
    <row r="53" spans="1:31" x14ac:dyDescent="0.3">
      <c r="A53" s="12" t="s">
        <v>140</v>
      </c>
      <c r="D53" s="13">
        <f>D52/D54</f>
        <v>32.808739640625632</v>
      </c>
      <c r="E53" s="1" t="s">
        <v>35</v>
      </c>
      <c r="M53" s="12" t="s">
        <v>113</v>
      </c>
      <c r="N53" s="12" t="s">
        <v>114</v>
      </c>
    </row>
    <row r="54" spans="1:31" x14ac:dyDescent="0.3">
      <c r="A54" s="1" t="s">
        <v>124</v>
      </c>
      <c r="D54" s="1">
        <v>0.85</v>
      </c>
      <c r="Q54" s="1" t="s">
        <v>150</v>
      </c>
      <c r="R54" s="1">
        <f>C14</f>
        <v>21</v>
      </c>
      <c r="S54" s="1" t="s">
        <v>0</v>
      </c>
    </row>
    <row r="55" spans="1:31" x14ac:dyDescent="0.3">
      <c r="A55" s="1" t="s">
        <v>149</v>
      </c>
      <c r="D55" s="2">
        <f>D53*D99</f>
        <v>16.404369820312816</v>
      </c>
      <c r="E55" s="1" t="s">
        <v>37</v>
      </c>
      <c r="Q55" s="1" t="s">
        <v>152</v>
      </c>
      <c r="R55" s="1">
        <f>C13</f>
        <v>1.5</v>
      </c>
      <c r="S55" s="1" t="s">
        <v>0</v>
      </c>
    </row>
    <row r="56" spans="1:31" x14ac:dyDescent="0.3">
      <c r="Q56" s="1" t="s">
        <v>151</v>
      </c>
    </row>
    <row r="57" spans="1:31" x14ac:dyDescent="0.3">
      <c r="Q57" s="1">
        <v>0</v>
      </c>
      <c r="R57" s="1">
        <v>20</v>
      </c>
      <c r="S57" s="1">
        <v>40</v>
      </c>
      <c r="T57" s="1">
        <v>60</v>
      </c>
      <c r="U57" s="1">
        <v>80</v>
      </c>
      <c r="V57" s="1">
        <v>100</v>
      </c>
    </row>
    <row r="58" spans="1:31" x14ac:dyDescent="0.3">
      <c r="B58" s="12" t="s">
        <v>96</v>
      </c>
      <c r="C58" s="12" t="s">
        <v>128</v>
      </c>
      <c r="D58" s="12" t="s">
        <v>106</v>
      </c>
      <c r="F58" s="12" t="s">
        <v>107</v>
      </c>
      <c r="H58" s="12" t="s">
        <v>108</v>
      </c>
      <c r="I58" s="12" t="s">
        <v>42</v>
      </c>
      <c r="K58" s="16" t="s">
        <v>43</v>
      </c>
      <c r="M58" s="12" t="s">
        <v>116</v>
      </c>
      <c r="N58" s="12" t="s">
        <v>115</v>
      </c>
    </row>
    <row r="59" spans="1:31" x14ac:dyDescent="0.3">
      <c r="A59" s="1" t="s">
        <v>41</v>
      </c>
      <c r="C59" s="1" t="s">
        <v>72</v>
      </c>
      <c r="H59" s="2">
        <f>D55</f>
        <v>16.404369820312816</v>
      </c>
      <c r="I59" s="1">
        <f>C13/2</f>
        <v>0.75</v>
      </c>
      <c r="J59" s="1" t="s">
        <v>101</v>
      </c>
      <c r="K59" s="3">
        <f>D125</f>
        <v>18.57170256170301</v>
      </c>
      <c r="L59" s="1" t="s">
        <v>111</v>
      </c>
      <c r="M59" s="3">
        <f t="shared" ref="M59:M64" si="0">H59*I59</f>
        <v>12.303277365234612</v>
      </c>
      <c r="N59" s="3">
        <f t="shared" ref="N59:N64" si="1">H59*K59</f>
        <v>304.65707701502708</v>
      </c>
      <c r="Q59" s="2">
        <v>16.239459501620495</v>
      </c>
      <c r="R59" s="2">
        <v>16.239459501620495</v>
      </c>
      <c r="S59" s="2">
        <v>16.239459501620495</v>
      </c>
      <c r="T59" s="2">
        <v>16.239459501620495</v>
      </c>
      <c r="U59" s="2">
        <v>16.239459501620495</v>
      </c>
      <c r="V59" s="2">
        <v>16.239459501620495</v>
      </c>
      <c r="Z59" s="2"/>
      <c r="AA59" s="2"/>
      <c r="AB59" s="2"/>
      <c r="AC59" s="2"/>
      <c r="AD59" s="2"/>
      <c r="AE59" s="2"/>
    </row>
    <row r="60" spans="1:31" x14ac:dyDescent="0.3">
      <c r="A60" s="1" t="s">
        <v>40</v>
      </c>
      <c r="C60" s="1" t="s">
        <v>72</v>
      </c>
      <c r="D60" s="2"/>
      <c r="H60" s="2">
        <f>E36</f>
        <v>28.008005587345632</v>
      </c>
      <c r="I60" s="1">
        <f>C13/2</f>
        <v>0.75</v>
      </c>
      <c r="J60" s="1" t="s">
        <v>101</v>
      </c>
      <c r="K60" s="3">
        <f>C14/2</f>
        <v>10.5</v>
      </c>
      <c r="L60" s="1" t="s">
        <v>112</v>
      </c>
      <c r="M60" s="2">
        <f t="shared" si="0"/>
        <v>21.006004190509223</v>
      </c>
      <c r="N60" s="2">
        <f t="shared" si="1"/>
        <v>294.08405866712911</v>
      </c>
      <c r="Q60" s="2">
        <v>28.008005587345632</v>
      </c>
      <c r="R60" s="2">
        <v>28.008005587345632</v>
      </c>
      <c r="S60" s="2">
        <v>28.008005587345632</v>
      </c>
      <c r="T60" s="2">
        <v>28.008005587345632</v>
      </c>
      <c r="U60" s="2">
        <v>28.008005587345632</v>
      </c>
      <c r="V60" s="2">
        <v>28.008005587345632</v>
      </c>
      <c r="Z60" s="2"/>
      <c r="AA60" s="2"/>
      <c r="AB60" s="2"/>
      <c r="AC60" s="2"/>
      <c r="AD60" s="2"/>
      <c r="AE60" s="2"/>
    </row>
    <row r="61" spans="1:31" x14ac:dyDescent="0.3">
      <c r="A61" s="1" t="s">
        <v>54</v>
      </c>
      <c r="C61" s="2">
        <v>78.517884637545819</v>
      </c>
      <c r="D61" s="2"/>
      <c r="F61" s="5" t="s">
        <v>105</v>
      </c>
      <c r="H61" s="2">
        <f>D110*C1/1000*C61/100</f>
        <v>29.932218065144799</v>
      </c>
      <c r="I61" s="1">
        <f>D107*C61/100+(C13-D107)</f>
        <v>1.3496251924628209</v>
      </c>
      <c r="J61" s="6" t="s">
        <v>102</v>
      </c>
      <c r="K61" s="3">
        <f>D108</f>
        <v>5.5358512808515039</v>
      </c>
      <c r="L61" s="1" t="s">
        <v>64</v>
      </c>
      <c r="M61" s="2">
        <f t="shared" si="0"/>
        <v>40.397275567010169</v>
      </c>
      <c r="N61" s="2">
        <f t="shared" si="1"/>
        <v>165.70030771465835</v>
      </c>
      <c r="Q61" s="2">
        <v>33.314798646876582</v>
      </c>
      <c r="R61" s="2">
        <v>33.23362649755061</v>
      </c>
      <c r="S61" s="2">
        <v>31.322543082575475</v>
      </c>
      <c r="T61" s="2">
        <v>31.263442976830937</v>
      </c>
      <c r="U61" s="2">
        <v>30.037863642465016</v>
      </c>
      <c r="V61" s="2">
        <v>29.96682388813597</v>
      </c>
      <c r="Z61" s="2"/>
      <c r="AA61" s="2"/>
      <c r="AB61" s="2"/>
      <c r="AC61" s="2"/>
      <c r="AD61" s="2"/>
      <c r="AE61" s="2"/>
    </row>
    <row r="62" spans="1:31" x14ac:dyDescent="0.3">
      <c r="A62" s="1" t="s">
        <v>55</v>
      </c>
      <c r="C62" s="2">
        <v>53.829338910272163</v>
      </c>
      <c r="D62" s="2"/>
      <c r="F62" s="5" t="s">
        <v>104</v>
      </c>
      <c r="H62" s="2">
        <f>D120*C1/1000*C62/100</f>
        <v>20.520566976589034</v>
      </c>
      <c r="I62" s="1">
        <f>D117*C62/100+(C13-D117)</f>
        <v>1.1768053723719052</v>
      </c>
      <c r="J62" s="6" t="s">
        <v>103</v>
      </c>
      <c r="K62" s="3">
        <f>D118</f>
        <v>13.607553842554513</v>
      </c>
      <c r="L62" s="1" t="s">
        <v>65</v>
      </c>
      <c r="M62" s="2">
        <f t="shared" si="0"/>
        <v>24.148713462167478</v>
      </c>
      <c r="N62" s="2">
        <f t="shared" si="1"/>
        <v>279.23472001368134</v>
      </c>
      <c r="Q62" s="2">
        <v>23.12922295003467</v>
      </c>
      <c r="R62" s="2">
        <v>23.153743297469486</v>
      </c>
      <c r="S62" s="2">
        <v>21.28055948051755</v>
      </c>
      <c r="T62" s="2">
        <v>21.29768032897255</v>
      </c>
      <c r="U62" s="2">
        <v>20.523472784352336</v>
      </c>
      <c r="V62" s="2">
        <v>20.544291616938935</v>
      </c>
      <c r="Z62" s="2"/>
      <c r="AA62" s="2"/>
      <c r="AB62" s="2"/>
      <c r="AC62" s="2"/>
      <c r="AD62" s="2"/>
      <c r="AE62" s="2"/>
    </row>
    <row r="63" spans="1:31" x14ac:dyDescent="0.3">
      <c r="A63" s="1" t="s">
        <v>56</v>
      </c>
      <c r="B63" s="1">
        <v>100</v>
      </c>
      <c r="C63" s="1">
        <f>100-B63</f>
        <v>0</v>
      </c>
      <c r="D63" s="2">
        <f>D111*C3/1000*B63/100</f>
        <v>25.822898163421222</v>
      </c>
      <c r="E63" s="6" t="s">
        <v>97</v>
      </c>
      <c r="F63" s="3">
        <f>D111*C1/1000*C63/100</f>
        <v>0</v>
      </c>
      <c r="G63" s="6" t="s">
        <v>99</v>
      </c>
      <c r="H63" s="2">
        <f>D63+F63</f>
        <v>25.822898163421222</v>
      </c>
      <c r="I63" s="3">
        <f>(B63/100/2*C13*2*D63+(B63/100+C63/100/2)*C13*2*F63)/H63</f>
        <v>1.4999999999999998</v>
      </c>
      <c r="J63" s="9" t="s">
        <v>109</v>
      </c>
      <c r="K63" s="3">
        <f>D108</f>
        <v>5.5358512808515039</v>
      </c>
      <c r="L63" s="1" t="s">
        <v>64</v>
      </c>
      <c r="M63" s="2">
        <f t="shared" si="0"/>
        <v>38.734347245131829</v>
      </c>
      <c r="N63" s="2">
        <f t="shared" si="1"/>
        <v>142.95172387327332</v>
      </c>
      <c r="Q63" s="2">
        <v>20.383901434512666</v>
      </c>
      <c r="R63" s="2">
        <v>21.477671755388954</v>
      </c>
      <c r="S63" s="2">
        <v>22.571442076265242</v>
      </c>
      <c r="T63" s="2">
        <v>23.665212397141534</v>
      </c>
      <c r="U63" s="2">
        <v>24.758982718017823</v>
      </c>
      <c r="V63" s="2">
        <v>25.852753038894111</v>
      </c>
      <c r="Z63" s="2"/>
      <c r="AA63" s="2"/>
      <c r="AB63" s="2"/>
      <c r="AC63" s="2"/>
      <c r="AD63" s="2"/>
      <c r="AE63" s="2"/>
    </row>
    <row r="64" spans="1:31" x14ac:dyDescent="0.3">
      <c r="A64" s="1" t="s">
        <v>57</v>
      </c>
      <c r="B64" s="1">
        <v>100</v>
      </c>
      <c r="C64" s="1">
        <f>100-B64</f>
        <v>0</v>
      </c>
      <c r="D64" s="2">
        <f>D121*C3/1000*B64/100</f>
        <v>25.822898163421222</v>
      </c>
      <c r="E64" s="6" t="s">
        <v>98</v>
      </c>
      <c r="F64" s="3">
        <f>D121*C1/1000*C64/100</f>
        <v>0</v>
      </c>
      <c r="G64" s="6" t="s">
        <v>100</v>
      </c>
      <c r="H64" s="2">
        <f>D64+F64</f>
        <v>25.822898163421222</v>
      </c>
      <c r="I64" s="3">
        <f>(B64/100/2*C13*2*D64+(B64/100+C64/100/2)*C13*2*F64)/H64</f>
        <v>1.4999999999999998</v>
      </c>
      <c r="J64" s="9" t="s">
        <v>110</v>
      </c>
      <c r="K64" s="3">
        <f>D118</f>
        <v>13.607553842554513</v>
      </c>
      <c r="L64" s="1" t="s">
        <v>65</v>
      </c>
      <c r="M64" s="2">
        <f t="shared" si="0"/>
        <v>38.734347245131829</v>
      </c>
      <c r="N64" s="2">
        <f t="shared" si="1"/>
        <v>351.38647712955634</v>
      </c>
      <c r="Q64" s="2">
        <v>20.383901434512666</v>
      </c>
      <c r="R64" s="2">
        <v>21.477671755388954</v>
      </c>
      <c r="S64" s="2">
        <v>22.571442076265242</v>
      </c>
      <c r="T64" s="2">
        <v>23.665212397141534</v>
      </c>
      <c r="U64" s="2">
        <v>24.758982718017823</v>
      </c>
      <c r="V64" s="2">
        <v>25.852753038894111</v>
      </c>
      <c r="Z64" s="2"/>
      <c r="AA64" s="2"/>
      <c r="AB64" s="2"/>
      <c r="AC64" s="2"/>
      <c r="AD64" s="2"/>
      <c r="AE64" s="2"/>
    </row>
    <row r="65" spans="1:31" x14ac:dyDescent="0.3">
      <c r="D65" s="2"/>
      <c r="Q65" s="2"/>
      <c r="R65" s="2"/>
      <c r="S65" s="2"/>
      <c r="T65" s="2"/>
      <c r="U65" s="2"/>
      <c r="V65" s="2"/>
      <c r="Z65" s="2"/>
      <c r="AA65" s="2"/>
      <c r="AB65" s="2"/>
      <c r="AC65" s="2"/>
      <c r="AD65" s="2"/>
      <c r="AE65" s="2"/>
    </row>
    <row r="66" spans="1:31" x14ac:dyDescent="0.3">
      <c r="D66" s="2"/>
      <c r="F66" s="12" t="s">
        <v>73</v>
      </c>
      <c r="H66" s="13">
        <f>SUM(H59:H64)</f>
        <v>146.51095677623474</v>
      </c>
      <c r="I66" s="14">
        <f>M66/H66</f>
        <v>1.1966611162259786</v>
      </c>
      <c r="K66" s="15">
        <f>N66/H66</f>
        <v>10.497606447020377</v>
      </c>
      <c r="M66" s="2">
        <f>SUM(M59:M64)</f>
        <v>175.32396507518516</v>
      </c>
      <c r="N66" s="2">
        <f>SUM(N59:N64)</f>
        <v>1538.0143644133257</v>
      </c>
      <c r="Q66" s="2">
        <v>141.45928955490271</v>
      </c>
      <c r="R66" s="2">
        <v>143.59017839476411</v>
      </c>
      <c r="S66" s="2">
        <v>141.99345180458965</v>
      </c>
      <c r="T66" s="2">
        <v>144.13901318905266</v>
      </c>
      <c r="U66" s="2">
        <v>144.32676695181911</v>
      </c>
      <c r="V66" s="2">
        <v>146.46408667182925</v>
      </c>
      <c r="Z66" s="2"/>
      <c r="AA66" s="2"/>
      <c r="AB66" s="2"/>
      <c r="AC66" s="2"/>
      <c r="AD66" s="2"/>
      <c r="AE66" s="2"/>
    </row>
    <row r="67" spans="1:31" x14ac:dyDescent="0.3">
      <c r="F67" s="12" t="s">
        <v>74</v>
      </c>
      <c r="H67" s="13">
        <f>C27</f>
        <v>144.90596114682921</v>
      </c>
      <c r="I67" s="1" t="s">
        <v>131</v>
      </c>
      <c r="Q67" s="2">
        <v>140.0757624419349</v>
      </c>
      <c r="R67" s="2">
        <v>140.0757624419349</v>
      </c>
      <c r="S67" s="2">
        <v>140.0757624419349</v>
      </c>
      <c r="T67" s="2">
        <v>140.0757624419349</v>
      </c>
      <c r="U67" s="2">
        <v>140.0757624419349</v>
      </c>
      <c r="V67" s="2">
        <v>140.0757624419349</v>
      </c>
      <c r="Z67" s="2"/>
      <c r="AA67" s="2"/>
      <c r="AB67" s="2"/>
      <c r="AC67" s="2"/>
      <c r="AD67" s="2"/>
      <c r="AE67" s="2"/>
    </row>
    <row r="68" spans="1:31" x14ac:dyDescent="0.3">
      <c r="F68" s="12" t="s">
        <v>129</v>
      </c>
      <c r="H68" s="12">
        <f>C13</f>
        <v>1.5</v>
      </c>
      <c r="L68" s="1" t="s">
        <v>132</v>
      </c>
    </row>
    <row r="69" spans="1:31" x14ac:dyDescent="0.3">
      <c r="F69" s="12" t="s">
        <v>130</v>
      </c>
      <c r="H69" s="12">
        <f>C14/2</f>
        <v>10.5</v>
      </c>
    </row>
    <row r="70" spans="1:31" x14ac:dyDescent="0.3">
      <c r="C70" s="11"/>
    </row>
    <row r="71" spans="1:31" x14ac:dyDescent="0.3">
      <c r="G71" s="3"/>
      <c r="K71" s="3"/>
    </row>
    <row r="72" spans="1:31" x14ac:dyDescent="0.3">
      <c r="D72" s="1" t="s">
        <v>133</v>
      </c>
      <c r="G72" s="17">
        <f>ATAN(ABS(C14/2-K66)/ABS(H68-I66))*180/PI()</f>
        <v>0.45209382956426575</v>
      </c>
      <c r="H72" s="1" t="s">
        <v>70</v>
      </c>
    </row>
    <row r="73" spans="1:31" x14ac:dyDescent="0.3">
      <c r="K73" s="3"/>
    </row>
    <row r="74" spans="1:31" x14ac:dyDescent="0.3">
      <c r="K74" s="3"/>
    </row>
    <row r="75" spans="1:31" x14ac:dyDescent="0.3">
      <c r="K75" s="3"/>
    </row>
    <row r="76" spans="1:31" x14ac:dyDescent="0.3">
      <c r="A76" s="1" t="s">
        <v>135</v>
      </c>
      <c r="K76" s="3"/>
    </row>
    <row r="77" spans="1:31" x14ac:dyDescent="0.3">
      <c r="K77" s="3"/>
    </row>
    <row r="78" spans="1:31" x14ac:dyDescent="0.3">
      <c r="A78" s="1" t="s">
        <v>46</v>
      </c>
      <c r="F78" s="1">
        <v>1.5</v>
      </c>
      <c r="G78" s="1" t="s">
        <v>0</v>
      </c>
    </row>
    <row r="80" spans="1:31" x14ac:dyDescent="0.3">
      <c r="A80" s="5" t="s">
        <v>69</v>
      </c>
      <c r="F80" s="4">
        <f>MAX(0,SIGN(2*C13-F78))*C12+2*SQRT(MAX(0, C13^2-(C13-F78)^2))</f>
        <v>21</v>
      </c>
      <c r="G80" s="1" t="s">
        <v>0</v>
      </c>
    </row>
    <row r="81" spans="1:7" x14ac:dyDescent="0.3">
      <c r="A81" s="1" t="s">
        <v>50</v>
      </c>
      <c r="F81" s="4">
        <f>2*SQRT(MAX(0,C13^2-(C13-F78)^2))</f>
        <v>3</v>
      </c>
      <c r="G81" s="1" t="s">
        <v>0</v>
      </c>
    </row>
    <row r="82" spans="1:7" x14ac:dyDescent="0.3">
      <c r="A82" s="1" t="s">
        <v>51</v>
      </c>
      <c r="F82" s="3">
        <f>(C13^2*(PI()-ACOS(MIN(1, (F78-C13)/C13)))+(F78-C13)*F81/2)*C12</f>
        <v>63.617251235193308</v>
      </c>
      <c r="G82" s="1" t="s">
        <v>16</v>
      </c>
    </row>
    <row r="83" spans="1:7" x14ac:dyDescent="0.3">
      <c r="A83" s="1" t="s">
        <v>52</v>
      </c>
      <c r="F83" s="3">
        <f>PI()/3*(4*C13^3-MAX(0, 2*C13-F78)^2*(C13+F78))</f>
        <v>7.0685834705770336</v>
      </c>
      <c r="G83" s="1" t="s">
        <v>16</v>
      </c>
    </row>
    <row r="84" spans="1:7" x14ac:dyDescent="0.3">
      <c r="A84" s="1" t="s">
        <v>75</v>
      </c>
      <c r="F84" s="3">
        <f>F82+F83</f>
        <v>70.685834705770347</v>
      </c>
      <c r="G84" s="1" t="s">
        <v>16</v>
      </c>
    </row>
    <row r="85" spans="1:7" x14ac:dyDescent="0.3">
      <c r="A85" s="1" t="s">
        <v>48</v>
      </c>
      <c r="F85" s="3">
        <f>F86+F87-I66</f>
        <v>46.803338883774025</v>
      </c>
      <c r="G85" s="1" t="s">
        <v>0</v>
      </c>
    </row>
    <row r="86" spans="1:7" x14ac:dyDescent="0.3">
      <c r="A86" s="1" t="s">
        <v>49</v>
      </c>
      <c r="F86" s="3">
        <f>F80*F81^3/12</f>
        <v>47.25</v>
      </c>
      <c r="G86" s="1" t="s">
        <v>0</v>
      </c>
    </row>
    <row r="87" spans="1:7" x14ac:dyDescent="0.3">
      <c r="A87" s="1" t="s">
        <v>134</v>
      </c>
      <c r="F87" s="1">
        <f>F78/2</f>
        <v>0.75</v>
      </c>
      <c r="G87" s="1" t="s">
        <v>0</v>
      </c>
    </row>
    <row r="90" spans="1:7" x14ac:dyDescent="0.3">
      <c r="A90" s="12" t="s">
        <v>127</v>
      </c>
    </row>
    <row r="92" spans="1:7" x14ac:dyDescent="0.3">
      <c r="A92" s="12" t="s">
        <v>68</v>
      </c>
    </row>
    <row r="93" spans="1:7" x14ac:dyDescent="0.3">
      <c r="A93" s="1" t="s">
        <v>58</v>
      </c>
      <c r="B93" s="1" t="s">
        <v>60</v>
      </c>
      <c r="C93" s="2">
        <f>(1-C95)/2</f>
        <v>0.44842792009461152</v>
      </c>
      <c r="D93" s="2">
        <f>C93*C12</f>
        <v>8.0717025617030078</v>
      </c>
      <c r="E93" s="1" t="s">
        <v>0</v>
      </c>
    </row>
    <row r="94" spans="1:7" x14ac:dyDescent="0.3">
      <c r="A94" s="1" t="s">
        <v>59</v>
      </c>
      <c r="B94" s="1" t="s">
        <v>60</v>
      </c>
      <c r="C94" s="2">
        <f>(1-C95)/2</f>
        <v>0.44842792009461152</v>
      </c>
      <c r="D94" s="2">
        <f>C94*C12</f>
        <v>8.0717025617030078</v>
      </c>
      <c r="E94" s="1" t="s">
        <v>0</v>
      </c>
    </row>
    <row r="95" spans="1:7" x14ac:dyDescent="0.3">
      <c r="A95" s="1" t="s">
        <v>61</v>
      </c>
      <c r="B95" s="1" t="s">
        <v>60</v>
      </c>
      <c r="C95" s="2">
        <f>D96/C12</f>
        <v>0.10314415981077696</v>
      </c>
      <c r="D95" s="2">
        <f>C95*C12</f>
        <v>1.8565948765939853</v>
      </c>
      <c r="E95" s="1" t="s">
        <v>0</v>
      </c>
    </row>
    <row r="96" spans="1:7" x14ac:dyDescent="0.3">
      <c r="A96" s="1" t="s">
        <v>148</v>
      </c>
      <c r="D96" s="2">
        <f>D124/(C13^2*PI())</f>
        <v>1.8565948765939853</v>
      </c>
      <c r="E96" s="1" t="s">
        <v>0</v>
      </c>
    </row>
    <row r="98" spans="1:5" x14ac:dyDescent="0.3">
      <c r="A98" s="1" t="s">
        <v>141</v>
      </c>
    </row>
    <row r="99" spans="1:5" x14ac:dyDescent="0.3">
      <c r="A99" s="1" t="s">
        <v>144</v>
      </c>
      <c r="D99" s="1">
        <v>0.5</v>
      </c>
      <c r="E99" s="1" t="s">
        <v>142</v>
      </c>
    </row>
    <row r="100" spans="1:5" x14ac:dyDescent="0.3">
      <c r="A100" s="1" t="s">
        <v>145</v>
      </c>
      <c r="D100" s="1">
        <v>0.4</v>
      </c>
      <c r="E100" s="1" t="s">
        <v>143</v>
      </c>
    </row>
    <row r="104" spans="1:5" x14ac:dyDescent="0.3">
      <c r="A104" s="12" t="s">
        <v>66</v>
      </c>
    </row>
    <row r="105" spans="1:5" x14ac:dyDescent="0.3">
      <c r="A105" s="1" t="s">
        <v>136</v>
      </c>
      <c r="D105" s="1">
        <v>30</v>
      </c>
      <c r="E105" s="1" t="s">
        <v>70</v>
      </c>
    </row>
    <row r="106" spans="1:5" x14ac:dyDescent="0.3">
      <c r="A106" s="1" t="s">
        <v>137</v>
      </c>
      <c r="D106" s="1">
        <v>30</v>
      </c>
      <c r="E106" s="1" t="s">
        <v>70</v>
      </c>
    </row>
    <row r="107" spans="1:5" x14ac:dyDescent="0.3">
      <c r="A107" s="1" t="s">
        <v>138</v>
      </c>
      <c r="D107" s="1">
        <v>0.7</v>
      </c>
      <c r="E107" s="1" t="s">
        <v>0</v>
      </c>
    </row>
    <row r="108" spans="1:5" x14ac:dyDescent="0.3">
      <c r="A108" s="1" t="s">
        <v>139</v>
      </c>
      <c r="B108" s="1" t="s">
        <v>83</v>
      </c>
      <c r="D108" s="3">
        <f>C13+D93/2</f>
        <v>5.5358512808515039</v>
      </c>
      <c r="E108" s="1" t="s">
        <v>0</v>
      </c>
    </row>
    <row r="109" spans="1:5" x14ac:dyDescent="0.3">
      <c r="A109" s="8" t="s">
        <v>92</v>
      </c>
      <c r="B109" s="1" t="s">
        <v>81</v>
      </c>
      <c r="D109" s="2">
        <f>C13^2*PI()*D93</f>
        <v>57.055503307068186</v>
      </c>
      <c r="E109" s="1" t="s">
        <v>16</v>
      </c>
    </row>
    <row r="110" spans="1:5" x14ac:dyDescent="0.3">
      <c r="A110" s="8" t="s">
        <v>90</v>
      </c>
      <c r="B110" s="6" t="s">
        <v>80</v>
      </c>
      <c r="D110" s="2">
        <f>PI()*(360-D105-D106)/360*(C13^2-D107^2)*D93</f>
        <v>37.191735489051858</v>
      </c>
      <c r="E110" s="1" t="s">
        <v>16</v>
      </c>
    </row>
    <row r="111" spans="1:5" x14ac:dyDescent="0.3">
      <c r="A111" s="8" t="s">
        <v>91</v>
      </c>
      <c r="B111" t="s">
        <v>82</v>
      </c>
      <c r="D111" s="2">
        <f>D109-D110</f>
        <v>19.863767818016328</v>
      </c>
      <c r="E111" s="1" t="s">
        <v>16</v>
      </c>
    </row>
    <row r="114" spans="1:5" x14ac:dyDescent="0.3">
      <c r="A114" s="12" t="s">
        <v>67</v>
      </c>
    </row>
    <row r="115" spans="1:5" x14ac:dyDescent="0.3">
      <c r="A115" s="1" t="s">
        <v>53</v>
      </c>
      <c r="D115" s="1">
        <v>30</v>
      </c>
      <c r="E115" s="1" t="s">
        <v>70</v>
      </c>
    </row>
    <row r="116" spans="1:5" x14ac:dyDescent="0.3">
      <c r="A116" s="1" t="s">
        <v>62</v>
      </c>
      <c r="D116" s="1">
        <v>30</v>
      </c>
      <c r="E116" s="1" t="s">
        <v>70</v>
      </c>
    </row>
    <row r="117" spans="1:5" x14ac:dyDescent="0.3">
      <c r="A117" s="1" t="s">
        <v>63</v>
      </c>
      <c r="D117" s="1">
        <v>0.7</v>
      </c>
      <c r="E117" s="1" t="s">
        <v>0</v>
      </c>
    </row>
    <row r="118" spans="1:5" x14ac:dyDescent="0.3">
      <c r="A118" s="1" t="s">
        <v>84</v>
      </c>
      <c r="B118" s="1" t="s">
        <v>85</v>
      </c>
      <c r="D118" s="3">
        <f>C13+D93+D94/2</f>
        <v>13.607553842554513</v>
      </c>
      <c r="E118" s="1" t="s">
        <v>0</v>
      </c>
    </row>
    <row r="119" spans="1:5" x14ac:dyDescent="0.3">
      <c r="A119" s="8" t="s">
        <v>93</v>
      </c>
      <c r="B119" s="1" t="s">
        <v>86</v>
      </c>
      <c r="D119" s="2">
        <f>C13^2*PI()*D94</f>
        <v>57.055503307068186</v>
      </c>
      <c r="E119" s="1" t="s">
        <v>16</v>
      </c>
    </row>
    <row r="120" spans="1:5" x14ac:dyDescent="0.3">
      <c r="A120" s="8" t="s">
        <v>94</v>
      </c>
      <c r="B120" s="6" t="s">
        <v>87</v>
      </c>
      <c r="D120" s="2">
        <f>PI()*(360-D115-D116)/360*(C13^2-D117^2)*D94</f>
        <v>37.191735489051858</v>
      </c>
      <c r="E120" s="1" t="s">
        <v>16</v>
      </c>
    </row>
    <row r="121" spans="1:5" x14ac:dyDescent="0.3">
      <c r="A121" s="8" t="s">
        <v>95</v>
      </c>
      <c r="B121" t="s">
        <v>82</v>
      </c>
      <c r="D121" s="2">
        <f>D119-D120</f>
        <v>19.863767818016328</v>
      </c>
      <c r="E121" s="1" t="s">
        <v>16</v>
      </c>
    </row>
    <row r="123" spans="1:5" x14ac:dyDescent="0.3">
      <c r="A123" s="12" t="s">
        <v>147</v>
      </c>
    </row>
    <row r="124" spans="1:5" x14ac:dyDescent="0.3">
      <c r="A124" s="1" t="s">
        <v>146</v>
      </c>
      <c r="D124" s="2">
        <f>D53*D100</f>
        <v>13.123495856250253</v>
      </c>
      <c r="E124" s="1" t="s">
        <v>16</v>
      </c>
    </row>
    <row r="125" spans="1:5" x14ac:dyDescent="0.3">
      <c r="A125" s="1" t="s">
        <v>88</v>
      </c>
      <c r="D125" s="3">
        <f>C13+D93+D94+D95/2</f>
        <v>18.57170256170301</v>
      </c>
      <c r="E125" s="1" t="s">
        <v>0</v>
      </c>
    </row>
  </sheetData>
  <scenarios current="0">
    <scenario name="stem1" count="2" user="Windows korisnik" comment="Created by Windows korisnik on 4/4/2019">
      <inputCells r="C61" val="60.0823042674936"/>
      <inputCells r="C62" val="50.0766968954303"/>
    </scenario>
  </scenarios>
  <pageMargins left="0.7" right="0.7" top="0.75" bottom="0.75" header="0.3" footer="0.3"/>
  <pageSetup paperSize="9" scale="43" orientation="landscape" r:id="rId1"/>
  <rowBreaks count="1" manualBreakCount="1">
    <brk id="70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Podmornica</vt:lpstr>
      <vt:lpstr>Podmornica!Print_Area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Ante Orešković</cp:lastModifiedBy>
  <cp:lastPrinted>2019-03-27T23:45:28Z</cp:lastPrinted>
  <dcterms:created xsi:type="dcterms:W3CDTF">2019-03-16T23:26:43Z</dcterms:created>
  <dcterms:modified xsi:type="dcterms:W3CDTF">2019-04-14T20:11:21Z</dcterms:modified>
</cp:coreProperties>
</file>