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RIVE2\Projects\STEM GAMES\"/>
    </mc:Choice>
  </mc:AlternateContent>
  <bookViews>
    <workbookView xWindow="0" yWindow="0" windowWidth="19200" windowHeight="7610"/>
  </bookViews>
  <sheets>
    <sheet name="Podmornica" sheetId="1" r:id="rId1"/>
  </sheets>
  <definedNames>
    <definedName name="_xlnm.Print_Area" localSheetId="0">Podmornica!$A$1:$O$188</definedName>
    <definedName name="solver_adj" localSheetId="0" hidden="1">Podmornica!$C$76:$C$80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Podmornica!$C$79</definedName>
    <definedName name="solver_lhs2" localSheetId="0" hidden="1">Podmornica!$C$78</definedName>
    <definedName name="solver_lhs3" localSheetId="0" hidden="1">Podmornica!$C$80</definedName>
    <definedName name="solver_lhs4" localSheetId="0" hidden="1">Podmornica!$I$84</definedName>
    <definedName name="solver_lhs5" localSheetId="0" hidden="1">Podmornica!$C$77</definedName>
    <definedName name="solver_lhs6" localSheetId="0" hidden="1">Podmornica!$C$76</definedName>
    <definedName name="solver_lhs7" localSheetId="0" hidden="1">Podmornica!$H$84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Podmornica!$G$90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hs1" localSheetId="0" hidden="1">100</definedName>
    <definedName name="solver_rhs2" localSheetId="0" hidden="1">100</definedName>
    <definedName name="solver_rhs3" localSheetId="0" hidden="1">100</definedName>
    <definedName name="solver_rhs4" localSheetId="0" hidden="1">Podmornica!$H$86</definedName>
    <definedName name="solver_rhs5" localSheetId="0" hidden="1">100</definedName>
    <definedName name="solver_rhs6" localSheetId="0" hidden="1">100</definedName>
    <definedName name="solver_rhs7" localSheetId="0" hidden="1">Podmornica!$H$85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2" i="1" l="1"/>
  <c r="E61" i="1"/>
  <c r="H86" i="1" l="1"/>
  <c r="I72" i="1"/>
  <c r="M72" i="1" s="1"/>
  <c r="I71" i="1"/>
  <c r="M71" i="1" s="1"/>
  <c r="I70" i="1"/>
  <c r="I69" i="1"/>
  <c r="I68" i="1"/>
  <c r="M68" i="1"/>
  <c r="I67" i="1"/>
  <c r="C15" i="1"/>
  <c r="I77" i="1"/>
  <c r="I78" i="1"/>
  <c r="I79" i="1"/>
  <c r="I80" i="1"/>
  <c r="I76" i="1"/>
  <c r="K80" i="1"/>
  <c r="K79" i="1"/>
  <c r="K78" i="1"/>
  <c r="K77" i="1"/>
  <c r="K76" i="1"/>
  <c r="N68" i="1"/>
  <c r="N69" i="1"/>
  <c r="N70" i="1"/>
  <c r="N71" i="1"/>
  <c r="N72" i="1"/>
  <c r="N73" i="1"/>
  <c r="N74" i="1"/>
  <c r="M69" i="1"/>
  <c r="M70" i="1"/>
  <c r="M73" i="1"/>
  <c r="M74" i="1"/>
  <c r="K72" i="1"/>
  <c r="K74" i="1"/>
  <c r="K73" i="1"/>
  <c r="H73" i="1"/>
  <c r="H74" i="1"/>
  <c r="D150" i="1"/>
  <c r="D152" i="1"/>
  <c r="H80" i="1" s="1"/>
  <c r="N80" i="1" s="1"/>
  <c r="D185" i="1"/>
  <c r="D188" i="1" s="1"/>
  <c r="H76" i="1" s="1"/>
  <c r="D176" i="1"/>
  <c r="D167" i="1"/>
  <c r="D158" i="1"/>
  <c r="D161" i="1" s="1"/>
  <c r="C33" i="1"/>
  <c r="C27" i="1"/>
  <c r="C26" i="1"/>
  <c r="C22" i="1"/>
  <c r="C21" i="1"/>
  <c r="C16" i="1"/>
  <c r="H68" i="1"/>
  <c r="M76" i="1" l="1"/>
  <c r="M80" i="1"/>
  <c r="N76" i="1"/>
  <c r="D187" i="1"/>
  <c r="G126" i="1"/>
  <c r="H126" i="1" s="1"/>
  <c r="G125" i="1"/>
  <c r="F127" i="1"/>
  <c r="D139" i="1"/>
  <c r="G127" i="1" l="1"/>
  <c r="H125" i="1"/>
  <c r="H127" i="1" s="1"/>
  <c r="R57" i="1" l="1"/>
  <c r="G43" i="1"/>
  <c r="D44" i="1" s="1"/>
  <c r="F101" i="1" l="1"/>
  <c r="F99" i="1" l="1"/>
  <c r="F105" i="1" l="1"/>
  <c r="C7" i="1" l="1"/>
  <c r="C8" i="1" s="1"/>
  <c r="C32" i="1" s="1"/>
  <c r="E31" i="1" l="1"/>
  <c r="C31" i="1"/>
  <c r="D151" i="1" l="1"/>
  <c r="D159" i="1"/>
  <c r="D160" i="1"/>
  <c r="K68" i="1" l="1"/>
  <c r="F100" i="1" l="1"/>
  <c r="F102" i="1" s="1"/>
  <c r="C28" i="1"/>
  <c r="C23" i="1"/>
  <c r="E38" i="1" s="1"/>
  <c r="H67" i="1" s="1"/>
  <c r="M67" i="1" s="1"/>
  <c r="F98" i="1"/>
  <c r="F104" i="1" s="1"/>
  <c r="H87" i="1"/>
  <c r="C17" i="1" l="1"/>
  <c r="D51" i="1" s="1"/>
  <c r="C29" i="1"/>
  <c r="H85" i="1" s="1"/>
  <c r="K67" i="1"/>
  <c r="N67" i="1" s="1"/>
  <c r="R56" i="1"/>
  <c r="D47" i="1"/>
  <c r="D46" i="1" s="1"/>
  <c r="D45" i="1"/>
  <c r="D49" i="1" l="1"/>
  <c r="D52" i="1" s="1"/>
  <c r="D53" i="1" s="1"/>
  <c r="D54" i="1" s="1"/>
  <c r="D55" i="1" s="1"/>
  <c r="H79" i="1" s="1"/>
  <c r="M79" i="1" l="1"/>
  <c r="N79" i="1"/>
  <c r="G131" i="1"/>
  <c r="D114" i="1"/>
  <c r="D179" i="1" s="1"/>
  <c r="H77" i="1" s="1"/>
  <c r="D57" i="1"/>
  <c r="M77" i="1" l="1"/>
  <c r="N77" i="1"/>
  <c r="H70" i="1"/>
  <c r="D178" i="1"/>
  <c r="E132" i="1"/>
  <c r="E133" i="1"/>
  <c r="F133" i="1" s="1"/>
  <c r="F132" i="1" l="1"/>
  <c r="F134" i="1" s="1"/>
  <c r="E134" i="1"/>
  <c r="H71" i="1" s="1"/>
  <c r="C135" i="1" l="1"/>
  <c r="D113" i="1" s="1"/>
  <c r="D170" i="1" l="1"/>
  <c r="H78" i="1" s="1"/>
  <c r="D168" i="1"/>
  <c r="K71" i="1" s="1"/>
  <c r="D169" i="1"/>
  <c r="D186" i="1"/>
  <c r="K69" i="1" s="1"/>
  <c r="F152" i="1"/>
  <c r="D116" i="1"/>
  <c r="D177" i="1"/>
  <c r="K70" i="1" s="1"/>
  <c r="N78" i="1" l="1"/>
  <c r="N84" i="1" s="1"/>
  <c r="M78" i="1"/>
  <c r="M84" i="1" s="1"/>
  <c r="H84" i="1"/>
  <c r="I84" i="1" l="1"/>
  <c r="F103" i="1" s="1"/>
  <c r="K84" i="1"/>
  <c r="G90" i="1" l="1"/>
</calcChain>
</file>

<file path=xl/sharedStrings.xml><?xml version="1.0" encoding="utf-8"?>
<sst xmlns="http://schemas.openxmlformats.org/spreadsheetml/2006/main" count="298" uniqueCount="210">
  <si>
    <t>m</t>
  </si>
  <si>
    <t>Hidrostatski tlak =ro*g*h</t>
  </si>
  <si>
    <t>ro</t>
  </si>
  <si>
    <t>kg/m3</t>
  </si>
  <si>
    <t>g</t>
  </si>
  <si>
    <t>m/s2</t>
  </si>
  <si>
    <t>Dubina mora, h</t>
  </si>
  <si>
    <t>1 bar</t>
  </si>
  <si>
    <t>Pa</t>
  </si>
  <si>
    <t>bar</t>
  </si>
  <si>
    <t>Dimenzije podmorice:</t>
  </si>
  <si>
    <t>Radijus, R</t>
  </si>
  <si>
    <t>Oplošje podmornice:</t>
  </si>
  <si>
    <t>m2</t>
  </si>
  <si>
    <t>Volumen podmornice:</t>
  </si>
  <si>
    <t>m3</t>
  </si>
  <si>
    <t>Kugle, 4*R^2*pi()</t>
  </si>
  <si>
    <t>Debljina stijenke podmornice, t:</t>
  </si>
  <si>
    <t>Peq, tlak</t>
  </si>
  <si>
    <t>sigma=</t>
  </si>
  <si>
    <t>N/mm2</t>
  </si>
  <si>
    <t>J, faktor zavarivanja</t>
  </si>
  <si>
    <t>mm</t>
  </si>
  <si>
    <t>Potrebna snaga:</t>
  </si>
  <si>
    <t>CF= 0,075/(log10*Rn-2)^2, , koef. Trenja,</t>
  </si>
  <si>
    <t>S, Ukupno</t>
  </si>
  <si>
    <t>Pe=Re*V</t>
  </si>
  <si>
    <t>V, brzina broda</t>
  </si>
  <si>
    <t>čv</t>
  </si>
  <si>
    <t>m/2</t>
  </si>
  <si>
    <t>m2/s</t>
  </si>
  <si>
    <t>Rn=V*L/ni, Reynoldsov broj</t>
  </si>
  <si>
    <t>kW</t>
  </si>
  <si>
    <t>kN</t>
  </si>
  <si>
    <t>t</t>
  </si>
  <si>
    <t>t=Peq*Di/(20*sigma*J+Peq)</t>
  </si>
  <si>
    <t>roc</t>
  </si>
  <si>
    <t>težište, zg</t>
  </si>
  <si>
    <t>xg</t>
  </si>
  <si>
    <t>Istisnina, VOL*ro</t>
  </si>
  <si>
    <t>Ukupno, VOL</t>
  </si>
  <si>
    <t>Gaz, T</t>
  </si>
  <si>
    <t>Duljina, LC</t>
  </si>
  <si>
    <t>MG=BM+KB-KG</t>
  </si>
  <si>
    <t>BM, L*B^3/12</t>
  </si>
  <si>
    <t>B, Širinu, 2*sqrt(max(0, R^2-(T-R)^2))</t>
  </si>
  <si>
    <t>Volumen, Cil, (R^2*(PI()-ACOS(MIN(0, ((T-R)/R)))+(T-R)*B/2)*LC</t>
  </si>
  <si>
    <t>Volumen, Kugle, pi()/3*(4*R^3-MAX(0, 2*R-T)^2*(R+T))</t>
  </si>
  <si>
    <t>alfa2</t>
  </si>
  <si>
    <t>balast 1</t>
  </si>
  <si>
    <t>balast 2</t>
  </si>
  <si>
    <t>%LC</t>
  </si>
  <si>
    <t>beta2</t>
  </si>
  <si>
    <t>R2</t>
  </si>
  <si>
    <t>Duljine tankova</t>
  </si>
  <si>
    <t>LWL, Duljina WL, MAX(0;SIGN(2*R-T))*LC+2*SQRT(MAX(0,R^2-(T-R)^2))</t>
  </si>
  <si>
    <t>st</t>
  </si>
  <si>
    <t>ros</t>
  </si>
  <si>
    <t>-</t>
  </si>
  <si>
    <t>Ukupna masa</t>
  </si>
  <si>
    <t>Istisnina</t>
  </si>
  <si>
    <t>Volumen, podmornice u plovidbi</t>
  </si>
  <si>
    <t>L, duljina, LC+2*R</t>
  </si>
  <si>
    <t>Di=R*2*1000</t>
  </si>
  <si>
    <t>(Peq*Di/(20*sigma+Peq))</t>
  </si>
  <si>
    <t>Oplakana poršina (S)*debljina (t) *roc*1,5 (masa strukture)</t>
  </si>
  <si>
    <t>pi()*(360-alfa1-beta1)/360*(R^2-R1^2)*l1</t>
  </si>
  <si>
    <t>R^2*pi()*l1</t>
  </si>
  <si>
    <t>R+l1/2</t>
  </si>
  <si>
    <t>XG2,</t>
  </si>
  <si>
    <t>R+l1+l2/2</t>
  </si>
  <si>
    <t>R^2*pi()*l2</t>
  </si>
  <si>
    <t>pi()*(360-alfa2-beta2)/360*(R^2-R2^2)*l2</t>
  </si>
  <si>
    <t>Masa čelika (trupa):</t>
  </si>
  <si>
    <t>%smeća, PS</t>
  </si>
  <si>
    <t>R/2</t>
  </si>
  <si>
    <t>R1*PB1/100+(R-R1)</t>
  </si>
  <si>
    <t>R2*PB2/100+(R-R2)</t>
  </si>
  <si>
    <t xml:space="preserve">             VB1*ro/1000*PB2/100 -&gt;</t>
  </si>
  <si>
    <t xml:space="preserve">             VB1*ro/1000*PB1/100 -&gt;</t>
  </si>
  <si>
    <t>masa, smeća, MS</t>
  </si>
  <si>
    <t>masa, balasta, MB</t>
  </si>
  <si>
    <t>ukupno, MU</t>
  </si>
  <si>
    <t>MU*zg</t>
  </si>
  <si>
    <t>MU*xg</t>
  </si>
  <si>
    <t>MOM, mx</t>
  </si>
  <si>
    <t>MOM, mz</t>
  </si>
  <si>
    <t>CT=CF*(1+k), koef. ukupnog otpora</t>
  </si>
  <si>
    <t>CB=VOL/(L*2R*2R), blok koef.</t>
  </si>
  <si>
    <t>k=-0.095+25.6 *CB/((L/2R)^2</t>
  </si>
  <si>
    <t>Fn=V/(g*L)^0.5</t>
  </si>
  <si>
    <t>Re=CT*0,5*ro*v^2*S/1000</t>
  </si>
  <si>
    <t>Kinematički viskozitet vode, ni=</t>
  </si>
  <si>
    <t>Pb1=Pe/(0,5*0,98)</t>
  </si>
  <si>
    <t>Service continues rating, 85% MCR</t>
  </si>
  <si>
    <t>k=-0.095+25.6 *CB/((L/2R)^2*(2R/2R)^0.5), koef. Utjecaja trupa</t>
  </si>
  <si>
    <t>Koef, čv. u m/s</t>
  </si>
  <si>
    <t>Definicije tankova</t>
  </si>
  <si>
    <t>%, balasta/mora PB</t>
  </si>
  <si>
    <t>VCB, Težište istisnine po visini</t>
  </si>
  <si>
    <t>LCB, Težište istisnine po duljini, L/2=</t>
  </si>
  <si>
    <t>Težište masa po visini, VCG</t>
  </si>
  <si>
    <t>Težište masa po duljini, LCG</t>
  </si>
  <si>
    <t>alfa_t, Kut trim ( mora biti blizu 0) = atan((L/2-LCG)/(VCB-VCG))</t>
  </si>
  <si>
    <t>KB= T/2</t>
  </si>
  <si>
    <t>Stabilitet podmornice u plovidbi</t>
  </si>
  <si>
    <t>alfa1, kut gornjeg otvora</t>
  </si>
  <si>
    <t>beta1, donji kut</t>
  </si>
  <si>
    <t>R1, unutrašnji radijus balastnih tankova</t>
  </si>
  <si>
    <t>XG1, težište tanka po duljini</t>
  </si>
  <si>
    <t>Pb= Pb1/0.85, ukupna potrebna snaga na vijku</t>
  </si>
  <si>
    <t>Ulazni parametri za pogon</t>
  </si>
  <si>
    <t>t/kW</t>
  </si>
  <si>
    <t>m3/kW</t>
  </si>
  <si>
    <t>SM, Specifična masa po kW pogona</t>
  </si>
  <si>
    <t>SV, Specifični volumen po kW pogona</t>
  </si>
  <si>
    <t>MM=Pb*SM, masa pogona</t>
  </si>
  <si>
    <t>L=</t>
  </si>
  <si>
    <t>Količina smeća u tnakovima, %</t>
  </si>
  <si>
    <t>R=</t>
  </si>
  <si>
    <t>Kugla, 4/3*R^3*pi()</t>
  </si>
  <si>
    <t>MIN</t>
  </si>
  <si>
    <t>VT2, Volumen tanka,</t>
  </si>
  <si>
    <t>VB2, Volumen balasta,</t>
  </si>
  <si>
    <t>R+l1+l2+l3/2</t>
  </si>
  <si>
    <t>R+l1+l2+l3+l4+l5/2</t>
  </si>
  <si>
    <t>R^2*pi()*l3</t>
  </si>
  <si>
    <t>R^2*pi()*l5</t>
  </si>
  <si>
    <t>Pogonsko postrojenje</t>
  </si>
  <si>
    <t>Izmjenjivači, turbina, ložište, kondenzator, generator + elektromotor</t>
  </si>
  <si>
    <t>POTROŠNJA GORIVA</t>
  </si>
  <si>
    <t>Etanola</t>
  </si>
  <si>
    <t>kg/h/kW</t>
  </si>
  <si>
    <t>Kisika</t>
  </si>
  <si>
    <t>Postrojenje snage 150 kW ima masu 15 t</t>
  </si>
  <si>
    <t>gustoća, kg/m3</t>
  </si>
  <si>
    <t>Projektni parametri</t>
  </si>
  <si>
    <t>sata</t>
  </si>
  <si>
    <t>Vrijeme plovidbe</t>
  </si>
  <si>
    <t>Radijus plovidbe</t>
  </si>
  <si>
    <t>nm</t>
  </si>
  <si>
    <t>Masa goriva za snagu, t</t>
  </si>
  <si>
    <t>TANK3 - GORIVO</t>
  </si>
  <si>
    <t>R3</t>
  </si>
  <si>
    <t>alfa3</t>
  </si>
  <si>
    <t>beta3</t>
  </si>
  <si>
    <t>XG3,</t>
  </si>
  <si>
    <t>TANK4 - POGONSKO POSTROJENJE</t>
  </si>
  <si>
    <t>alfa4</t>
  </si>
  <si>
    <t>beta4</t>
  </si>
  <si>
    <t>R4</t>
  </si>
  <si>
    <t>XG4,</t>
  </si>
  <si>
    <t>R+l1+l4+l3+l4/4</t>
  </si>
  <si>
    <t>VT4, Volumen tanka,</t>
  </si>
  <si>
    <t>R^4*pi()*l4</t>
  </si>
  <si>
    <t>VB4, Volumen balasta,</t>
  </si>
  <si>
    <t>VT3, Volumen tanka,</t>
  </si>
  <si>
    <t>VB3, Volumen balasta,</t>
  </si>
  <si>
    <t>TANK5 - PROSTOR ELEKTROMOTORA</t>
  </si>
  <si>
    <t>beta5</t>
  </si>
  <si>
    <t>R5</t>
  </si>
  <si>
    <t>XG5,</t>
  </si>
  <si>
    <t>VT5, Volumen tanka,</t>
  </si>
  <si>
    <t>VB5, Volumen balasta,</t>
  </si>
  <si>
    <t>pi()*(360-alfa3-beta3)/360*(R^2-R3^2)*l2</t>
  </si>
  <si>
    <t>pi()*(360-alfa4-beta4)/360*(R^2-R4^2)*l2</t>
  </si>
  <si>
    <t>pi()*(360-alfa5-beta5)/360*(R^2-R5^2)*l2</t>
  </si>
  <si>
    <t>VT1, Volumen tanka,</t>
  </si>
  <si>
    <t>VB1, Volumen balasta,</t>
  </si>
  <si>
    <t>Volumen, V3,  m3</t>
  </si>
  <si>
    <t>Ukupno:</t>
  </si>
  <si>
    <t>Minimalna duljina tanka za gorivo, l3=V3/(R^2*pi()), m</t>
  </si>
  <si>
    <t>l4 - POGONSKO POSTROJENJE</t>
  </si>
  <si>
    <t>Duljina, D, mm</t>
  </si>
  <si>
    <t>Širina, A, mm</t>
  </si>
  <si>
    <t>Visina, B, mm</t>
  </si>
  <si>
    <t>Volumen, m^3</t>
  </si>
  <si>
    <t>Min (za 20 kW)</t>
  </si>
  <si>
    <t>Max (za 150 kW)</t>
  </si>
  <si>
    <t>Projvera za R4</t>
  </si>
  <si>
    <t>l1 - POSADA I PUTNICI</t>
  </si>
  <si>
    <t>l2 - KOMORA</t>
  </si>
  <si>
    <t>l3 - GORIVO</t>
  </si>
  <si>
    <t>l5 - ELKTROMOTOR</t>
  </si>
  <si>
    <t>Cilindar, R^2*pi()*LC</t>
  </si>
  <si>
    <t>Cilindar, 2*R*pi()*LC</t>
  </si>
  <si>
    <t>TERET</t>
  </si>
  <si>
    <t>TRUP</t>
  </si>
  <si>
    <t>alfa5</t>
  </si>
  <si>
    <t>Radijus balast, RB</t>
  </si>
  <si>
    <t>TANK2 - KOMORA</t>
  </si>
  <si>
    <t>TANK1 - POSADA I PUTNICI</t>
  </si>
  <si>
    <t>balast 3</t>
  </si>
  <si>
    <t>balast 4</t>
  </si>
  <si>
    <t>balast 5</t>
  </si>
  <si>
    <t>ELEKTROMOTOR (5)</t>
  </si>
  <si>
    <t>POGONSKO POSTROJENJE (4)</t>
  </si>
  <si>
    <t>GORIVO (3)</t>
  </si>
  <si>
    <t>KOMORA (4)</t>
  </si>
  <si>
    <t>PUTNICI (1)</t>
  </si>
  <si>
    <t>POSADA (1)</t>
  </si>
  <si>
    <t>Razlika radijusa</t>
  </si>
  <si>
    <t>koef. Volumena</t>
  </si>
  <si>
    <t>m^3/kWh</t>
  </si>
  <si>
    <t>koef. Mase</t>
  </si>
  <si>
    <t>kg/kWh</t>
  </si>
  <si>
    <t>Podaci za baterije</t>
  </si>
  <si>
    <t>Potreban kapacitet baterija</t>
  </si>
  <si>
    <t>Masa baterija, t</t>
  </si>
  <si>
    <t>Volumen baterija, 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</si>
</sst>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0000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1" fontId="1" fillId="0" borderId="0" xfId="0" applyNumberFormat="1" applyFont="1"/>
    <xf numFmtId="0" fontId="1" fillId="0" borderId="0" xfId="0" quotePrefix="1" applyFont="1"/>
    <xf numFmtId="166" fontId="1" fillId="0" borderId="0" xfId="0" applyNumberFormat="1" applyFont="1"/>
    <xf numFmtId="0" fontId="4" fillId="0" borderId="0" xfId="0" applyFont="1"/>
    <xf numFmtId="2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7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8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Podmornica!$A$80</c:f>
              <c:strCache>
                <c:ptCount val="1"/>
                <c:pt idx="0">
                  <c:v>balast 1</c:v>
                </c:pt>
              </c:strCache>
            </c:strRef>
          </c:tx>
          <c:xVal>
            <c:numRef>
              <c:f>Podmornica!$Q$64:$V$64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Podmornica!$Q$80:$V$80</c:f>
              <c:numCache>
                <c:formatCode>0.00</c:formatCode>
                <c:ptCount val="6"/>
                <c:pt idx="0">
                  <c:v>33.314798646876582</c:v>
                </c:pt>
                <c:pt idx="1">
                  <c:v>33.23362649755061</c:v>
                </c:pt>
                <c:pt idx="2">
                  <c:v>31.322543082575475</c:v>
                </c:pt>
                <c:pt idx="3">
                  <c:v>31.263442976830937</c:v>
                </c:pt>
                <c:pt idx="4">
                  <c:v>30.037863642465016</c:v>
                </c:pt>
                <c:pt idx="5">
                  <c:v>29.96682388813597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5381-404D-9741-84304A40B668}"/>
            </c:ext>
          </c:extLst>
        </c:ser>
        <c:ser>
          <c:idx val="2"/>
          <c:order val="1"/>
          <c:tx>
            <c:strRef>
              <c:f>Podmornica!$A$79</c:f>
              <c:strCache>
                <c:ptCount val="1"/>
                <c:pt idx="0">
                  <c:v>balast 2</c:v>
                </c:pt>
              </c:strCache>
            </c:strRef>
          </c:tx>
          <c:xVal>
            <c:numRef>
              <c:f>Podmornica!$Q$64:$V$64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Podmornica!$Q$79:$V$79</c:f>
              <c:numCache>
                <c:formatCode>0.00</c:formatCode>
                <c:ptCount val="6"/>
                <c:pt idx="0">
                  <c:v>23.12922295003467</c:v>
                </c:pt>
                <c:pt idx="1">
                  <c:v>23.153743297469486</c:v>
                </c:pt>
                <c:pt idx="2">
                  <c:v>21.28055948051755</c:v>
                </c:pt>
                <c:pt idx="3">
                  <c:v>21.29768032897255</c:v>
                </c:pt>
                <c:pt idx="4">
                  <c:v>20.523472784352336</c:v>
                </c:pt>
                <c:pt idx="5">
                  <c:v>20.544291616938935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5381-404D-9741-84304A40B668}"/>
            </c:ext>
          </c:extLst>
        </c:ser>
        <c:ser>
          <c:idx val="3"/>
          <c:order val="2"/>
          <c:tx>
            <c:strRef>
              <c:f>Podmornica!#REF!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Podmornica!$Q$64:$V$64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Podmornica!#REF!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5381-404D-9741-84304A40B668}"/>
            </c:ext>
          </c:extLst>
        </c:ser>
        <c:ser>
          <c:idx val="4"/>
          <c:order val="3"/>
          <c:tx>
            <c:strRef>
              <c:f>Podmornica!#REF!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Podmornica!$Q$64:$V$64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Podmornica!#REF!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5381-404D-9741-84304A40B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7701856"/>
        <c:axId val="-1537701312"/>
      </c:scatterChart>
      <c:valAx>
        <c:axId val="-153770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537701312"/>
        <c:crosses val="autoZero"/>
        <c:crossBetween val="midCat"/>
      </c:valAx>
      <c:valAx>
        <c:axId val="-15377013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1537701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910564304461942"/>
                  <c:y val="0.278474044911052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Podmornica!$G$123:$H$123</c:f>
              <c:numCache>
                <c:formatCode>General</c:formatCode>
                <c:ptCount val="2"/>
                <c:pt idx="0">
                  <c:v>20</c:v>
                </c:pt>
                <c:pt idx="1">
                  <c:v>150</c:v>
                </c:pt>
              </c:numCache>
            </c:numRef>
          </c:xVal>
          <c:yVal>
            <c:numRef>
              <c:f>Podmornica!$G$124:$H$124</c:f>
              <c:numCache>
                <c:formatCode>General</c:formatCode>
                <c:ptCount val="2"/>
                <c:pt idx="0">
                  <c:v>4000</c:v>
                </c:pt>
                <c:pt idx="1">
                  <c:v>6000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7710016"/>
        <c:axId val="-1724590592"/>
      </c:scatterChart>
      <c:valAx>
        <c:axId val="-153771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4590592"/>
        <c:crosses val="autoZero"/>
        <c:crossBetween val="midCat"/>
      </c:valAx>
      <c:valAx>
        <c:axId val="-17245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771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184083</xdr:colOff>
      <xdr:row>85</xdr:row>
      <xdr:rowOff>205215</xdr:rowOff>
    </xdr:from>
    <xdr:to>
      <xdr:col>23</xdr:col>
      <xdr:colOff>425210</xdr:colOff>
      <xdr:row>98</xdr:row>
      <xdr:rowOff>124046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0</xdr:colOff>
      <xdr:row>38</xdr:row>
      <xdr:rowOff>0</xdr:rowOff>
    </xdr:from>
    <xdr:to>
      <xdr:col>24</xdr:col>
      <xdr:colOff>251558</xdr:colOff>
      <xdr:row>50</xdr:row>
      <xdr:rowOff>155425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15182" y="8312727"/>
          <a:ext cx="5931922" cy="2926334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38</xdr:row>
      <xdr:rowOff>0</xdr:rowOff>
    </xdr:from>
    <xdr:to>
      <xdr:col>35</xdr:col>
      <xdr:colOff>314735</xdr:colOff>
      <xdr:row>50</xdr:row>
      <xdr:rowOff>155425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642455" y="8312727"/>
          <a:ext cx="5925826" cy="2926334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38</xdr:row>
      <xdr:rowOff>0</xdr:rowOff>
    </xdr:from>
    <xdr:to>
      <xdr:col>46</xdr:col>
      <xdr:colOff>314735</xdr:colOff>
      <xdr:row>50</xdr:row>
      <xdr:rowOff>155425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500455" y="8312727"/>
          <a:ext cx="5925826" cy="2926334"/>
        </a:xfrm>
        <a:prstGeom prst="rect">
          <a:avLst/>
        </a:prstGeom>
      </xdr:spPr>
    </xdr:pic>
    <xdr:clientData/>
  </xdr:twoCellAnchor>
  <xdr:twoCellAnchor>
    <xdr:from>
      <xdr:col>8</xdr:col>
      <xdr:colOff>526143</xdr:colOff>
      <xdr:row>84</xdr:row>
      <xdr:rowOff>27215</xdr:rowOff>
    </xdr:from>
    <xdr:to>
      <xdr:col>8</xdr:col>
      <xdr:colOff>553357</xdr:colOff>
      <xdr:row>84</xdr:row>
      <xdr:rowOff>208643</xdr:rowOff>
    </xdr:to>
    <xdr:cxnSp macro="">
      <xdr:nvCxnSpPr>
        <xdr:cNvPr id="3" name="Straight Arrow Connector 2"/>
        <xdr:cNvCxnSpPr/>
      </xdr:nvCxnSpPr>
      <xdr:spPr>
        <a:xfrm flipV="1">
          <a:off x="13761357" y="15593786"/>
          <a:ext cx="27214" cy="1814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907143</xdr:colOff>
      <xdr:row>84</xdr:row>
      <xdr:rowOff>36286</xdr:rowOff>
    </xdr:from>
    <xdr:to>
      <xdr:col>12</xdr:col>
      <xdr:colOff>36286</xdr:colOff>
      <xdr:row>85</xdr:row>
      <xdr:rowOff>0</xdr:rowOff>
    </xdr:to>
    <xdr:cxnSp macro="">
      <xdr:nvCxnSpPr>
        <xdr:cNvPr id="6" name="Straight Arrow Connector 5"/>
        <xdr:cNvCxnSpPr/>
      </xdr:nvCxnSpPr>
      <xdr:spPr>
        <a:xfrm flipH="1" flipV="1">
          <a:off x="14976929" y="15602857"/>
          <a:ext cx="725714" cy="1995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723459</xdr:colOff>
      <xdr:row>107</xdr:row>
      <xdr:rowOff>124361</xdr:rowOff>
    </xdr:from>
    <xdr:to>
      <xdr:col>12</xdr:col>
      <xdr:colOff>185042</xdr:colOff>
      <xdr:row>119</xdr:row>
      <xdr:rowOff>42223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97"/>
  <sheetViews>
    <sheetView tabSelected="1" defaultGridColor="0" view="pageBreakPreview" topLeftCell="A112" colorId="8" zoomScale="25" zoomScaleNormal="55" zoomScaleSheetLayoutView="25" workbookViewId="0">
      <selection sqref="A1:O188"/>
    </sheetView>
  </sheetViews>
  <sheetFormatPr defaultColWidth="8.90625" defaultRowHeight="18.5" x14ac:dyDescent="0.45"/>
  <cols>
    <col min="1" max="1" width="35.90625" style="1" customWidth="1"/>
    <col min="2" max="3" width="22.81640625" style="1" customWidth="1"/>
    <col min="4" max="4" width="21.90625" style="1" customWidth="1"/>
    <col min="5" max="5" width="30.54296875" style="1" customWidth="1"/>
    <col min="6" max="6" width="27.1796875" style="1" customWidth="1"/>
    <col min="7" max="7" width="21.54296875" style="1" customWidth="1"/>
    <col min="8" max="8" width="17.08984375" style="1" customWidth="1"/>
    <col min="9" max="9" width="11.90625" style="1" bestFit="1" customWidth="1"/>
    <col min="10" max="10" width="43.54296875" style="1" hidden="1" customWidth="1"/>
    <col min="11" max="11" width="13.90625" style="1" customWidth="1"/>
    <col min="12" max="12" width="9" style="1" customWidth="1"/>
    <col min="13" max="13" width="12.90625" style="1" customWidth="1"/>
    <col min="14" max="14" width="13" style="1" customWidth="1"/>
    <col min="15" max="16" width="8.90625" style="1"/>
    <col min="17" max="22" width="10.54296875" style="1" bestFit="1" customWidth="1"/>
    <col min="23" max="16384" width="8.90625" style="1"/>
  </cols>
  <sheetData>
    <row r="1" spans="1:5" x14ac:dyDescent="0.45">
      <c r="A1" s="1" t="s">
        <v>2</v>
      </c>
      <c r="C1" s="1">
        <v>1025</v>
      </c>
      <c r="D1" s="1" t="s">
        <v>3</v>
      </c>
    </row>
    <row r="2" spans="1:5" x14ac:dyDescent="0.45">
      <c r="A2" s="1" t="s">
        <v>36</v>
      </c>
      <c r="C2" s="1">
        <v>7850</v>
      </c>
      <c r="D2" s="1" t="s">
        <v>3</v>
      </c>
    </row>
    <row r="3" spans="1:5" x14ac:dyDescent="0.45">
      <c r="A3" s="1" t="s">
        <v>57</v>
      </c>
      <c r="C3" s="1">
        <v>1300</v>
      </c>
      <c r="D3" s="1" t="s">
        <v>3</v>
      </c>
    </row>
    <row r="4" spans="1:5" x14ac:dyDescent="0.45">
      <c r="A4" s="1" t="s">
        <v>4</v>
      </c>
      <c r="C4" s="1">
        <v>9.81</v>
      </c>
      <c r="D4" s="1" t="s">
        <v>5</v>
      </c>
    </row>
    <row r="5" spans="1:5" x14ac:dyDescent="0.45">
      <c r="A5" s="1" t="s">
        <v>6</v>
      </c>
      <c r="C5" s="18">
        <v>50</v>
      </c>
      <c r="D5" s="1" t="s">
        <v>0</v>
      </c>
    </row>
    <row r="7" spans="1:5" x14ac:dyDescent="0.45">
      <c r="A7" s="1" t="s">
        <v>1</v>
      </c>
      <c r="C7" s="1">
        <f>C1*C4*C5</f>
        <v>502762.5</v>
      </c>
      <c r="D7" s="1" t="s">
        <v>8</v>
      </c>
    </row>
    <row r="8" spans="1:5" x14ac:dyDescent="0.45">
      <c r="A8" s="1" t="s">
        <v>18</v>
      </c>
      <c r="C8" s="2">
        <f>C7/C9</f>
        <v>5.0276249999999996</v>
      </c>
      <c r="D8" s="1" t="s">
        <v>9</v>
      </c>
    </row>
    <row r="9" spans="1:5" x14ac:dyDescent="0.45">
      <c r="A9" s="1" t="s">
        <v>7</v>
      </c>
      <c r="C9" s="1">
        <v>100000</v>
      </c>
      <c r="D9" s="1" t="s">
        <v>8</v>
      </c>
    </row>
    <row r="11" spans="1:5" x14ac:dyDescent="0.45">
      <c r="A11" s="1" t="s">
        <v>10</v>
      </c>
    </row>
    <row r="12" spans="1:5" x14ac:dyDescent="0.45">
      <c r="A12" s="1" t="s">
        <v>42</v>
      </c>
      <c r="C12" s="22">
        <v>11.28</v>
      </c>
      <c r="E12" s="22"/>
    </row>
    <row r="13" spans="1:5" x14ac:dyDescent="0.45">
      <c r="A13" s="1" t="s">
        <v>11</v>
      </c>
      <c r="C13" s="18">
        <v>1.5</v>
      </c>
      <c r="D13" s="1" t="s">
        <v>0</v>
      </c>
    </row>
    <row r="14" spans="1:5" x14ac:dyDescent="0.45">
      <c r="A14" s="1" t="s">
        <v>189</v>
      </c>
      <c r="C14" s="18">
        <v>2.1</v>
      </c>
    </row>
    <row r="15" spans="1:5" x14ac:dyDescent="0.45">
      <c r="A15" s="1" t="s">
        <v>201</v>
      </c>
      <c r="C15" s="18">
        <f>C14-C13</f>
        <v>0.60000000000000009</v>
      </c>
    </row>
    <row r="16" spans="1:5" x14ac:dyDescent="0.45">
      <c r="A16" s="1" t="s">
        <v>62</v>
      </c>
      <c r="C16" s="1">
        <f>C12+2*C13</f>
        <v>14.28</v>
      </c>
    </row>
    <row r="17" spans="1:42" x14ac:dyDescent="0.45">
      <c r="A17" s="1" t="s">
        <v>88</v>
      </c>
      <c r="C17" s="5">
        <f>C28/(C16*2*C13*2*C13)</f>
        <v>0.73039829201107231</v>
      </c>
    </row>
    <row r="20" spans="1:42" x14ac:dyDescent="0.45">
      <c r="A20" s="1" t="s">
        <v>12</v>
      </c>
    </row>
    <row r="21" spans="1:42" x14ac:dyDescent="0.45">
      <c r="A21" s="1" t="s">
        <v>185</v>
      </c>
      <c r="C21" s="2">
        <f>2*C13*PI()*C12</f>
        <v>106.31149539747859</v>
      </c>
      <c r="D21" s="1" t="s">
        <v>13</v>
      </c>
    </row>
    <row r="22" spans="1:42" x14ac:dyDescent="0.45">
      <c r="A22" s="1" t="s">
        <v>16</v>
      </c>
      <c r="C22" s="2">
        <f>4*C13^2*PI()</f>
        <v>28.274333882308138</v>
      </c>
      <c r="D22" s="1" t="s">
        <v>13</v>
      </c>
    </row>
    <row r="23" spans="1:42" x14ac:dyDescent="0.45">
      <c r="A23" s="1" t="s">
        <v>25</v>
      </c>
      <c r="C23" s="2">
        <f>C21+C22</f>
        <v>134.58582927978674</v>
      </c>
      <c r="D23" s="1" t="s">
        <v>13</v>
      </c>
    </row>
    <row r="24" spans="1:42" x14ac:dyDescent="0.45">
      <c r="Q24" s="1" t="s">
        <v>117</v>
      </c>
      <c r="R24" s="1">
        <v>14</v>
      </c>
      <c r="S24" s="1" t="s">
        <v>0</v>
      </c>
      <c r="Z24" s="1" t="s">
        <v>117</v>
      </c>
      <c r="AA24" s="1">
        <v>17.5</v>
      </c>
      <c r="AB24" s="1" t="s">
        <v>0</v>
      </c>
      <c r="AK24" s="1" t="s">
        <v>117</v>
      </c>
      <c r="AL24" s="1">
        <v>21</v>
      </c>
      <c r="AM24" s="1" t="s">
        <v>0</v>
      </c>
    </row>
    <row r="25" spans="1:42" x14ac:dyDescent="0.45">
      <c r="A25" s="1" t="s">
        <v>14</v>
      </c>
      <c r="Q25" s="1" t="s">
        <v>119</v>
      </c>
      <c r="R25" s="1">
        <v>1</v>
      </c>
      <c r="S25" s="1" t="s">
        <v>0</v>
      </c>
      <c r="Z25" s="1" t="s">
        <v>119</v>
      </c>
      <c r="AA25" s="1">
        <v>1.25</v>
      </c>
      <c r="AB25" s="1" t="s">
        <v>0</v>
      </c>
      <c r="AK25" s="1" t="s">
        <v>119</v>
      </c>
      <c r="AL25" s="1">
        <v>1.5</v>
      </c>
      <c r="AM25" s="1" t="s">
        <v>0</v>
      </c>
    </row>
    <row r="26" spans="1:42" x14ac:dyDescent="0.45">
      <c r="A26" s="1" t="s">
        <v>184</v>
      </c>
      <c r="C26" s="2">
        <f>C13^2*PI()*C12</f>
        <v>79.733621548108943</v>
      </c>
      <c r="D26" s="1" t="s">
        <v>15</v>
      </c>
      <c r="Q26" s="1" t="s">
        <v>118</v>
      </c>
      <c r="Z26" s="1" t="s">
        <v>118</v>
      </c>
      <c r="AK26" s="1" t="s">
        <v>118</v>
      </c>
    </row>
    <row r="27" spans="1:42" x14ac:dyDescent="0.45">
      <c r="A27" s="1" t="s">
        <v>120</v>
      </c>
      <c r="C27" s="2">
        <f>4/3*C13^3*PI()</f>
        <v>14.137166941154069</v>
      </c>
      <c r="D27" s="1" t="s">
        <v>15</v>
      </c>
      <c r="Q27" s="1">
        <v>0</v>
      </c>
      <c r="R27" s="1">
        <v>20</v>
      </c>
      <c r="S27" s="1">
        <v>40</v>
      </c>
      <c r="T27" s="1">
        <v>60</v>
      </c>
      <c r="U27" s="1">
        <v>80</v>
      </c>
      <c r="V27" s="1">
        <v>100</v>
      </c>
      <c r="Z27" s="1">
        <v>0</v>
      </c>
      <c r="AA27" s="1">
        <v>20</v>
      </c>
      <c r="AB27" s="1">
        <v>40</v>
      </c>
      <c r="AC27" s="1">
        <v>60</v>
      </c>
      <c r="AD27" s="1">
        <v>80</v>
      </c>
      <c r="AE27" s="1">
        <v>100</v>
      </c>
      <c r="AK27" s="1">
        <v>0</v>
      </c>
      <c r="AL27" s="1">
        <v>20</v>
      </c>
      <c r="AM27" s="1">
        <v>40</v>
      </c>
      <c r="AN27" s="1">
        <v>60</v>
      </c>
      <c r="AO27" s="1">
        <v>80</v>
      </c>
      <c r="AP27" s="1">
        <v>100</v>
      </c>
    </row>
    <row r="28" spans="1:42" x14ac:dyDescent="0.45">
      <c r="A28" s="1" t="s">
        <v>40</v>
      </c>
      <c r="C28" s="23">
        <f>C26+C27</f>
        <v>93.870788489263006</v>
      </c>
      <c r="D28" s="19" t="s">
        <v>15</v>
      </c>
    </row>
    <row r="29" spans="1:42" x14ac:dyDescent="0.45">
      <c r="A29" s="1" t="s">
        <v>39</v>
      </c>
      <c r="C29" s="2">
        <f>C28*C1/1000</f>
        <v>96.217558201494583</v>
      </c>
      <c r="D29" s="1" t="s">
        <v>34</v>
      </c>
      <c r="Q29" s="2">
        <v>7.754196234911773</v>
      </c>
      <c r="R29" s="2">
        <v>7.754196234911773</v>
      </c>
      <c r="S29" s="2">
        <v>7.754196234911773</v>
      </c>
      <c r="T29" s="2">
        <v>7.754196234911773</v>
      </c>
      <c r="U29" s="2">
        <v>7.754196234911773</v>
      </c>
      <c r="V29" s="2">
        <v>7.754196234911773</v>
      </c>
      <c r="Z29" s="2">
        <v>11.638593351892611</v>
      </c>
      <c r="AA29" s="2">
        <v>11.638593351892611</v>
      </c>
      <c r="AB29" s="2">
        <v>11.638593351892611</v>
      </c>
      <c r="AC29" s="2">
        <v>11.638593351892611</v>
      </c>
      <c r="AD29" s="2">
        <v>11.638593351892611</v>
      </c>
      <c r="AE29" s="2">
        <v>11.638593351892611</v>
      </c>
      <c r="AK29" s="2">
        <v>16.239459501620495</v>
      </c>
      <c r="AL29" s="2">
        <v>16.239459501620495</v>
      </c>
      <c r="AM29" s="2">
        <v>16.239459501620495</v>
      </c>
      <c r="AN29" s="2">
        <v>16.239459501620495</v>
      </c>
      <c r="AO29" s="2">
        <v>16.239459501620495</v>
      </c>
      <c r="AP29" s="2">
        <v>16.239459501620495</v>
      </c>
    </row>
    <row r="30" spans="1:42" x14ac:dyDescent="0.45">
      <c r="A30" s="1" t="s">
        <v>17</v>
      </c>
      <c r="E30" s="8" t="s">
        <v>64</v>
      </c>
      <c r="Q30" s="2">
        <v>8.2986683221764856</v>
      </c>
      <c r="R30" s="2">
        <v>8.2986683221764856</v>
      </c>
      <c r="S30" s="2">
        <v>8.2986683221764856</v>
      </c>
      <c r="T30" s="2">
        <v>8.2986683221764856</v>
      </c>
      <c r="U30" s="2">
        <v>8.2986683221764856</v>
      </c>
      <c r="V30" s="2">
        <v>8.2986683221764856</v>
      </c>
      <c r="Z30" s="2">
        <v>16.208336566750951</v>
      </c>
      <c r="AA30" s="2">
        <v>16.208336566750951</v>
      </c>
      <c r="AB30" s="2">
        <v>16.208336566750951</v>
      </c>
      <c r="AC30" s="2">
        <v>16.208336566750951</v>
      </c>
      <c r="AD30" s="2">
        <v>16.208336566750951</v>
      </c>
      <c r="AE30" s="2">
        <v>16.208336566750951</v>
      </c>
      <c r="AK30" s="2">
        <v>28.008005587345632</v>
      </c>
      <c r="AL30" s="2">
        <v>28.008005587345632</v>
      </c>
      <c r="AM30" s="2">
        <v>28.008005587345632</v>
      </c>
      <c r="AN30" s="2">
        <v>28.008005587345632</v>
      </c>
      <c r="AO30" s="2">
        <v>28.008005587345632</v>
      </c>
      <c r="AP30" s="2">
        <v>28.008005587345632</v>
      </c>
    </row>
    <row r="31" spans="1:42" x14ac:dyDescent="0.45">
      <c r="A31" s="1" t="s">
        <v>35</v>
      </c>
      <c r="C31" s="2">
        <f>C32*C33/(10*C34*C35-0.5*C32)</f>
        <v>12.090614830955793</v>
      </c>
      <c r="D31" s="2" t="s">
        <v>22</v>
      </c>
      <c r="E31" s="2">
        <f>C32*C33/(20*C34+C32)</f>
        <v>6.0210413847232509</v>
      </c>
      <c r="F31" s="1" t="s">
        <v>22</v>
      </c>
      <c r="Q31" s="2">
        <v>6.7630525041953318</v>
      </c>
      <c r="R31" s="2">
        <v>6.485684453325292</v>
      </c>
      <c r="S31" s="2">
        <v>6.2093045761858274</v>
      </c>
      <c r="T31" s="2">
        <v>5.9338264541396404</v>
      </c>
      <c r="U31" s="2">
        <v>5.6591998528179168</v>
      </c>
      <c r="V31" s="2">
        <v>5.385368621367431</v>
      </c>
      <c r="Z31" s="2">
        <v>17.455897116242756</v>
      </c>
      <c r="AA31" s="2">
        <v>16.914352864380614</v>
      </c>
      <c r="AB31" s="2">
        <v>15.850882162139071</v>
      </c>
      <c r="AC31" s="2">
        <v>15.149962009507986</v>
      </c>
      <c r="AD31" s="2">
        <v>14.775265375004439</v>
      </c>
      <c r="AE31" s="2">
        <v>14.416334521123225</v>
      </c>
      <c r="AK31" s="2">
        <v>33.314798646876582</v>
      </c>
      <c r="AL31" s="2">
        <v>33.23362649755061</v>
      </c>
      <c r="AM31" s="2">
        <v>31.322543082575475</v>
      </c>
      <c r="AN31" s="2">
        <v>31.263442976830937</v>
      </c>
      <c r="AO31" s="2">
        <v>30.037863642465016</v>
      </c>
      <c r="AP31" s="2">
        <v>29.96682388813597</v>
      </c>
    </row>
    <row r="32" spans="1:42" x14ac:dyDescent="0.45">
      <c r="A32" s="1" t="s">
        <v>18</v>
      </c>
      <c r="C32" s="2">
        <f>C8</f>
        <v>5.0276249999999996</v>
      </c>
      <c r="D32" s="1" t="s">
        <v>9</v>
      </c>
      <c r="Q32" s="2">
        <v>2.0414427444984358</v>
      </c>
      <c r="R32" s="2">
        <v>2.0520304408603103</v>
      </c>
      <c r="S32" s="2">
        <v>2.0644154565257065</v>
      </c>
      <c r="T32" s="2">
        <v>2.0783980438482383</v>
      </c>
      <c r="U32" s="2">
        <v>2.0938634560610692</v>
      </c>
      <c r="V32" s="2">
        <v>2.1106827609654131</v>
      </c>
      <c r="Z32" s="2">
        <v>10.434206606590473</v>
      </c>
      <c r="AA32" s="2">
        <v>10.227711974017806</v>
      </c>
      <c r="AB32" s="2">
        <v>8.5535608664514609</v>
      </c>
      <c r="AC32" s="2">
        <v>8.2713083908488994</v>
      </c>
      <c r="AD32" s="2">
        <v>8.2036551324221634</v>
      </c>
      <c r="AE32" s="2">
        <v>8.1588303369462842</v>
      </c>
      <c r="AK32" s="2">
        <v>23.12922295003467</v>
      </c>
      <c r="AL32" s="2">
        <v>23.153743297469486</v>
      </c>
      <c r="AM32" s="2">
        <v>21.28055948051755</v>
      </c>
      <c r="AN32" s="2">
        <v>21.29768032897255</v>
      </c>
      <c r="AO32" s="2">
        <v>20.523472784352336</v>
      </c>
      <c r="AP32" s="2">
        <v>20.544291616938935</v>
      </c>
    </row>
    <row r="33" spans="1:42" x14ac:dyDescent="0.45">
      <c r="A33" s="1" t="s">
        <v>63</v>
      </c>
      <c r="C33" s="1">
        <f>C13*2*1000</f>
        <v>3000</v>
      </c>
      <c r="D33" s="1" t="s">
        <v>22</v>
      </c>
      <c r="Q33" s="2">
        <v>9.2814052588764557</v>
      </c>
      <c r="R33" s="2">
        <v>9.7794318825234843</v>
      </c>
      <c r="S33" s="2">
        <v>10.277458506170515</v>
      </c>
      <c r="T33" s="2">
        <v>10.775485129817543</v>
      </c>
      <c r="U33" s="2">
        <v>11.273511753464573</v>
      </c>
      <c r="V33" s="2">
        <v>11.771538377111602</v>
      </c>
      <c r="Z33" s="2">
        <v>14.108636558100221</v>
      </c>
      <c r="AA33" s="2">
        <v>14.865685349022669</v>
      </c>
      <c r="AB33" s="2">
        <v>15.62273413994512</v>
      </c>
      <c r="AC33" s="2">
        <v>16.37978293086757</v>
      </c>
      <c r="AD33" s="2">
        <v>17.136831721790021</v>
      </c>
      <c r="AE33" s="2">
        <v>17.893880512712471</v>
      </c>
      <c r="AK33" s="2">
        <v>20.383901434512666</v>
      </c>
      <c r="AL33" s="2">
        <v>21.477671755388954</v>
      </c>
      <c r="AM33" s="2">
        <v>22.571442076265242</v>
      </c>
      <c r="AN33" s="2">
        <v>23.665212397141534</v>
      </c>
      <c r="AO33" s="2">
        <v>24.758982718017823</v>
      </c>
      <c r="AP33" s="2">
        <v>25.852753038894111</v>
      </c>
    </row>
    <row r="34" spans="1:42" x14ac:dyDescent="0.45">
      <c r="A34" s="1" t="s">
        <v>19</v>
      </c>
      <c r="C34" s="19">
        <v>125</v>
      </c>
      <c r="D34" s="1" t="s">
        <v>20</v>
      </c>
      <c r="Q34" s="2">
        <v>9.2814052588764557</v>
      </c>
      <c r="R34" s="2">
        <v>9.7794318825234843</v>
      </c>
      <c r="S34" s="2">
        <v>10.277458506170515</v>
      </c>
      <c r="T34" s="2">
        <v>10.775485129817543</v>
      </c>
      <c r="U34" s="2">
        <v>11.273511753464573</v>
      </c>
      <c r="V34" s="2">
        <v>11.771538377111602</v>
      </c>
      <c r="Z34" s="2">
        <v>14.108636558100221</v>
      </c>
      <c r="AA34" s="2">
        <v>14.865685349022669</v>
      </c>
      <c r="AB34" s="2">
        <v>15.62273413994512</v>
      </c>
      <c r="AC34" s="2">
        <v>16.37978293086757</v>
      </c>
      <c r="AD34" s="2">
        <v>17.136831721790021</v>
      </c>
      <c r="AE34" s="2">
        <v>17.893880512712471</v>
      </c>
      <c r="AK34" s="2">
        <v>20.383901434512666</v>
      </c>
      <c r="AL34" s="2">
        <v>21.477671755388954</v>
      </c>
      <c r="AM34" s="2">
        <v>22.571442076265242</v>
      </c>
      <c r="AN34" s="2">
        <v>23.665212397141534</v>
      </c>
      <c r="AO34" s="2">
        <v>24.758982718017823</v>
      </c>
      <c r="AP34" s="2">
        <v>25.852753038894111</v>
      </c>
    </row>
    <row r="35" spans="1:42" x14ac:dyDescent="0.45">
      <c r="A35" s="1" t="s">
        <v>21</v>
      </c>
      <c r="C35" s="1">
        <v>1</v>
      </c>
      <c r="Q35" s="2"/>
      <c r="R35" s="2"/>
      <c r="S35" s="2"/>
      <c r="T35" s="2"/>
      <c r="U35" s="2"/>
      <c r="V35" s="2"/>
      <c r="Z35" s="2"/>
      <c r="AA35" s="2"/>
      <c r="AB35" s="2"/>
      <c r="AC35" s="2"/>
      <c r="AD35" s="2"/>
      <c r="AE35" s="2"/>
      <c r="AK35" s="2"/>
      <c r="AL35" s="2"/>
      <c r="AM35" s="2"/>
      <c r="AN35" s="2"/>
      <c r="AO35" s="2"/>
      <c r="AP35" s="2"/>
    </row>
    <row r="36" spans="1:42" x14ac:dyDescent="0.45">
      <c r="Q36" s="2">
        <v>43.42017032353494</v>
      </c>
      <c r="R36" s="2">
        <v>44.149443216320826</v>
      </c>
      <c r="S36" s="2">
        <v>44.88150160214083</v>
      </c>
      <c r="T36" s="2">
        <v>45.616059314711222</v>
      </c>
      <c r="U36" s="2">
        <v>46.352951372896392</v>
      </c>
      <c r="V36" s="2">
        <v>47.091992693644308</v>
      </c>
      <c r="Z36" s="2">
        <v>83.95430675767723</v>
      </c>
      <c r="AA36" s="2">
        <v>84.720365455087318</v>
      </c>
      <c r="AB36" s="2">
        <v>83.496841227124335</v>
      </c>
      <c r="AC36" s="2">
        <v>84.027766180735597</v>
      </c>
      <c r="AD36" s="2">
        <v>85.099513869650195</v>
      </c>
      <c r="AE36" s="2">
        <v>86.209855802138009</v>
      </c>
      <c r="AK36" s="2">
        <v>141.45928955490271</v>
      </c>
      <c r="AL36" s="2">
        <v>143.59017839476411</v>
      </c>
      <c r="AM36" s="2">
        <v>141.99345180458965</v>
      </c>
      <c r="AN36" s="2">
        <v>144.13901318905266</v>
      </c>
      <c r="AO36" s="2">
        <v>144.32676695181911</v>
      </c>
      <c r="AP36" s="2">
        <v>146.46408667182925</v>
      </c>
    </row>
    <row r="37" spans="1:42" x14ac:dyDescent="0.45">
      <c r="A37" s="1" t="s">
        <v>73</v>
      </c>
      <c r="Q37" s="2">
        <v>42.935099599060507</v>
      </c>
      <c r="R37" s="2">
        <v>42.935099599060507</v>
      </c>
      <c r="S37" s="2">
        <v>42.935099599060507</v>
      </c>
      <c r="T37" s="2">
        <v>42.935099599060507</v>
      </c>
      <c r="U37" s="2">
        <v>42.935099599060507</v>
      </c>
      <c r="V37" s="2">
        <v>42.935099599060507</v>
      </c>
      <c r="Z37" s="2">
        <v>82.180464076326757</v>
      </c>
      <c r="AA37" s="2">
        <v>82.180464076326757</v>
      </c>
      <c r="AB37" s="2">
        <v>82.180464076326757</v>
      </c>
      <c r="AC37" s="2">
        <v>82.180464076326757</v>
      </c>
      <c r="AD37" s="2">
        <v>82.180464076326757</v>
      </c>
      <c r="AE37" s="2">
        <v>82.180464076326757</v>
      </c>
      <c r="AK37" s="2">
        <v>140.0757624419349</v>
      </c>
      <c r="AL37" s="2">
        <v>140.0757624419349</v>
      </c>
      <c r="AM37" s="2">
        <v>140.0757624419349</v>
      </c>
      <c r="AN37" s="2">
        <v>140.0757624419349</v>
      </c>
      <c r="AO37" s="2">
        <v>140.0757624419349</v>
      </c>
      <c r="AP37" s="2">
        <v>140.0757624419349</v>
      </c>
    </row>
    <row r="38" spans="1:42" x14ac:dyDescent="0.45">
      <c r="A38" s="6" t="s">
        <v>65</v>
      </c>
      <c r="E38" s="2">
        <f>C23*E31/1000*C2/1000*1.5</f>
        <v>9.5418341339152803</v>
      </c>
      <c r="F38" s="1" t="s">
        <v>34</v>
      </c>
    </row>
    <row r="42" spans="1:42" x14ac:dyDescent="0.45">
      <c r="A42" s="1" t="s">
        <v>23</v>
      </c>
    </row>
    <row r="43" spans="1:42" x14ac:dyDescent="0.45">
      <c r="A43" s="1" t="s">
        <v>27</v>
      </c>
      <c r="D43" s="18">
        <v>7</v>
      </c>
      <c r="E43" s="1" t="s">
        <v>28</v>
      </c>
      <c r="F43" s="1" t="s">
        <v>96</v>
      </c>
      <c r="G43" s="5">
        <f>1852/3600</f>
        <v>0.51444444444444448</v>
      </c>
    </row>
    <row r="44" spans="1:42" x14ac:dyDescent="0.45">
      <c r="A44" s="1" t="s">
        <v>27</v>
      </c>
      <c r="D44" s="3">
        <f>D43*G43</f>
        <v>3.6011111111111114</v>
      </c>
      <c r="E44" s="1" t="s">
        <v>29</v>
      </c>
    </row>
    <row r="45" spans="1:42" x14ac:dyDescent="0.45">
      <c r="A45" s="1" t="s">
        <v>90</v>
      </c>
      <c r="D45" s="3">
        <f>D44/SQRT(9.08665*C16)</f>
        <v>0.31613349870773733</v>
      </c>
    </row>
    <row r="46" spans="1:42" x14ac:dyDescent="0.45">
      <c r="A46" s="1" t="s">
        <v>24</v>
      </c>
      <c r="D46" s="9">
        <f>0.075/(LOG10(D47)-2)^2</f>
        <v>2.3605285757861221E-3</v>
      </c>
    </row>
    <row r="47" spans="1:42" x14ac:dyDescent="0.45">
      <c r="A47" s="1" t="s">
        <v>31</v>
      </c>
      <c r="D47" s="9">
        <f>D44*(C16)/D48</f>
        <v>43322549.845549002</v>
      </c>
      <c r="F47" s="8"/>
      <c r="G47" s="5"/>
    </row>
    <row r="48" spans="1:42" x14ac:dyDescent="0.45">
      <c r="A48" s="1" t="s">
        <v>92</v>
      </c>
      <c r="D48" s="9">
        <v>1.187E-6</v>
      </c>
      <c r="E48" s="1" t="s">
        <v>30</v>
      </c>
      <c r="F48" s="8"/>
      <c r="G48" s="5"/>
    </row>
    <row r="49" spans="1:22" x14ac:dyDescent="0.45">
      <c r="A49" s="1" t="s">
        <v>87</v>
      </c>
      <c r="D49" s="9">
        <f>D46*(1+D51)</f>
        <v>4.0843058054731507E-3</v>
      </c>
      <c r="F49" s="8"/>
      <c r="G49" s="5"/>
    </row>
    <row r="50" spans="1:22" x14ac:dyDescent="0.45">
      <c r="A50" s="10" t="s">
        <v>95</v>
      </c>
      <c r="D50" s="9"/>
      <c r="F50" s="8"/>
      <c r="G50" s="5"/>
    </row>
    <row r="51" spans="1:22" x14ac:dyDescent="0.45">
      <c r="A51" s="10" t="s">
        <v>89</v>
      </c>
      <c r="D51" s="3">
        <f>-0.095+25.6*C17/(C16/(2*C13))^2</f>
        <v>0.73025052412803881</v>
      </c>
      <c r="G51" s="5"/>
    </row>
    <row r="52" spans="1:22" x14ac:dyDescent="0.45">
      <c r="A52" s="1" t="s">
        <v>91</v>
      </c>
      <c r="D52" s="2">
        <f>D49*0.5*C1*D44^2*C23/1000</f>
        <v>3.653292955711736</v>
      </c>
      <c r="E52" s="1" t="s">
        <v>33</v>
      </c>
      <c r="G52" s="3"/>
    </row>
    <row r="53" spans="1:22" x14ac:dyDescent="0.45">
      <c r="A53" s="1" t="s">
        <v>26</v>
      </c>
      <c r="D53" s="2">
        <f>D52*D44</f>
        <v>13.155913854957486</v>
      </c>
      <c r="E53" s="1" t="s">
        <v>32</v>
      </c>
      <c r="G53" s="3"/>
    </row>
    <row r="54" spans="1:22" x14ac:dyDescent="0.45">
      <c r="A54" s="1" t="s">
        <v>93</v>
      </c>
      <c r="D54" s="2">
        <f>D53/(0.5*0.98)</f>
        <v>26.848803785627524</v>
      </c>
      <c r="E54" s="1" t="s">
        <v>32</v>
      </c>
    </row>
    <row r="55" spans="1:22" x14ac:dyDescent="0.45">
      <c r="A55" s="12" t="s">
        <v>110</v>
      </c>
      <c r="D55" s="13">
        <f>D54/D56</f>
        <v>31.586827983091204</v>
      </c>
      <c r="E55" s="1" t="s">
        <v>32</v>
      </c>
      <c r="M55" s="12" t="s">
        <v>83</v>
      </c>
      <c r="N55" s="12" t="s">
        <v>84</v>
      </c>
    </row>
    <row r="56" spans="1:22" x14ac:dyDescent="0.45">
      <c r="A56" s="1" t="s">
        <v>94</v>
      </c>
      <c r="D56" s="19">
        <v>0.85</v>
      </c>
      <c r="Q56" s="1" t="s">
        <v>117</v>
      </c>
      <c r="R56" s="1">
        <f>C16</f>
        <v>14.28</v>
      </c>
      <c r="S56" s="1" t="s">
        <v>0</v>
      </c>
    </row>
    <row r="57" spans="1:22" x14ac:dyDescent="0.45">
      <c r="A57" s="1" t="s">
        <v>116</v>
      </c>
      <c r="D57" s="2">
        <f>D55*D139</f>
        <v>3.1586827983091208</v>
      </c>
      <c r="E57" s="1" t="s">
        <v>34</v>
      </c>
      <c r="Q57" s="1" t="s">
        <v>119</v>
      </c>
      <c r="R57" s="1">
        <f>C13</f>
        <v>1.5</v>
      </c>
      <c r="S57" s="1" t="s">
        <v>0</v>
      </c>
    </row>
    <row r="58" spans="1:22" x14ac:dyDescent="0.45">
      <c r="D58" s="2"/>
    </row>
    <row r="59" spans="1:22" x14ac:dyDescent="0.45">
      <c r="D59" s="1" t="s">
        <v>208</v>
      </c>
      <c r="E59" s="1" t="s">
        <v>209</v>
      </c>
    </row>
    <row r="60" spans="1:22" x14ac:dyDescent="0.45">
      <c r="A60" s="1" t="s">
        <v>206</v>
      </c>
      <c r="D60" s="2"/>
    </row>
    <row r="61" spans="1:22" x14ac:dyDescent="0.45">
      <c r="A61" s="1" t="s">
        <v>202</v>
      </c>
      <c r="B61" s="1">
        <v>0.02</v>
      </c>
      <c r="C61" s="1" t="s">
        <v>203</v>
      </c>
      <c r="E61" s="2">
        <f>B61*B127*D55</f>
        <v>1.2634731193236481</v>
      </c>
      <c r="Q61" s="1" t="s">
        <v>118</v>
      </c>
    </row>
    <row r="62" spans="1:22" x14ac:dyDescent="0.45">
      <c r="A62" s="1" t="s">
        <v>204</v>
      </c>
      <c r="B62" s="1">
        <v>17.5</v>
      </c>
      <c r="C62" s="1" t="s">
        <v>205</v>
      </c>
      <c r="D62" s="2">
        <f>B62*B127*D55/1000</f>
        <v>1.105538979408192</v>
      </c>
    </row>
    <row r="64" spans="1:22" x14ac:dyDescent="0.45">
      <c r="Q64" s="1">
        <v>0</v>
      </c>
      <c r="R64" s="1">
        <v>20</v>
      </c>
      <c r="S64" s="1">
        <v>40</v>
      </c>
      <c r="T64" s="1">
        <v>60</v>
      </c>
      <c r="U64" s="1">
        <v>80</v>
      </c>
      <c r="V64" s="1">
        <v>100</v>
      </c>
    </row>
    <row r="65" spans="1:31" x14ac:dyDescent="0.45">
      <c r="B65" s="12" t="s">
        <v>74</v>
      </c>
      <c r="C65" s="12" t="s">
        <v>98</v>
      </c>
      <c r="D65" s="12" t="s">
        <v>80</v>
      </c>
      <c r="F65" s="12" t="s">
        <v>81</v>
      </c>
      <c r="H65" s="12" t="s">
        <v>82</v>
      </c>
      <c r="I65" s="12" t="s">
        <v>37</v>
      </c>
      <c r="K65" s="16" t="s">
        <v>38</v>
      </c>
      <c r="M65" s="12" t="s">
        <v>86</v>
      </c>
      <c r="N65" s="12" t="s">
        <v>85</v>
      </c>
    </row>
    <row r="66" spans="1:31" x14ac:dyDescent="0.45">
      <c r="D66" s="2"/>
      <c r="H66" s="2"/>
      <c r="K66" s="3"/>
      <c r="M66" s="2"/>
      <c r="N66" s="2"/>
      <c r="Q66" s="2"/>
      <c r="R66" s="2"/>
      <c r="S66" s="2"/>
      <c r="T66" s="2"/>
      <c r="U66" s="2"/>
      <c r="V66" s="2"/>
      <c r="Z66" s="2"/>
      <c r="AA66" s="2"/>
      <c r="AB66" s="2"/>
      <c r="AC66" s="2"/>
      <c r="AD66" s="2"/>
      <c r="AE66" s="2"/>
    </row>
    <row r="67" spans="1:31" x14ac:dyDescent="0.45">
      <c r="A67" s="1" t="s">
        <v>187</v>
      </c>
      <c r="C67" s="1" t="s">
        <v>58</v>
      </c>
      <c r="D67" s="2"/>
      <c r="H67" s="2">
        <f>E38</f>
        <v>9.5418341339152803</v>
      </c>
      <c r="I67" s="1">
        <f>C13+C15</f>
        <v>2.1</v>
      </c>
      <c r="J67" s="1" t="s">
        <v>75</v>
      </c>
      <c r="K67" s="3">
        <f>C16/2</f>
        <v>7.14</v>
      </c>
      <c r="M67" s="2">
        <f>H67*I67</f>
        <v>20.03785168122209</v>
      </c>
      <c r="N67" s="2">
        <f>H67*K67</f>
        <v>68.128695716155093</v>
      </c>
      <c r="Q67" s="2">
        <v>28.008005587345632</v>
      </c>
      <c r="R67" s="2">
        <v>28.008005587345632</v>
      </c>
      <c r="S67" s="2">
        <v>28.008005587345632</v>
      </c>
      <c r="T67" s="2">
        <v>28.008005587345632</v>
      </c>
      <c r="U67" s="2">
        <v>28.008005587345632</v>
      </c>
      <c r="V67" s="2">
        <v>28.008005587345632</v>
      </c>
      <c r="Z67" s="2"/>
      <c r="AA67" s="2"/>
      <c r="AB67" s="2"/>
      <c r="AC67" s="2"/>
      <c r="AD67" s="2"/>
      <c r="AE67" s="2"/>
    </row>
    <row r="68" spans="1:31" x14ac:dyDescent="0.45">
      <c r="A68" s="1" t="s">
        <v>186</v>
      </c>
      <c r="D68" s="2"/>
      <c r="H68" s="2">
        <f>5*156/1000</f>
        <v>0.78</v>
      </c>
      <c r="I68" s="1">
        <f>C13/2+C15</f>
        <v>1.35</v>
      </c>
      <c r="K68" s="3">
        <f>D150</f>
        <v>3.55</v>
      </c>
      <c r="M68" s="2">
        <f t="shared" ref="M68:M80" si="0">H68*I68</f>
        <v>1.0530000000000002</v>
      </c>
      <c r="N68" s="2">
        <f t="shared" ref="N68:N80" si="1">H68*K68</f>
        <v>2.7690000000000001</v>
      </c>
      <c r="Q68" s="2"/>
      <c r="R68" s="2"/>
      <c r="S68" s="2"/>
      <c r="T68" s="2"/>
      <c r="U68" s="2"/>
      <c r="V68" s="2"/>
      <c r="Z68" s="2"/>
      <c r="AA68" s="2"/>
      <c r="AB68" s="2"/>
      <c r="AC68" s="2"/>
      <c r="AD68" s="2"/>
      <c r="AE68" s="2"/>
    </row>
    <row r="69" spans="1:31" x14ac:dyDescent="0.45">
      <c r="A69" s="1" t="s">
        <v>195</v>
      </c>
      <c r="D69" s="2"/>
      <c r="H69" s="2">
        <v>1</v>
      </c>
      <c r="I69" s="1">
        <f>C13/2+C15</f>
        <v>1.35</v>
      </c>
      <c r="K69" s="3">
        <f>D186</f>
        <v>12.046794947327488</v>
      </c>
      <c r="M69" s="2">
        <f t="shared" si="0"/>
        <v>1.35</v>
      </c>
      <c r="N69" s="2">
        <f t="shared" si="1"/>
        <v>12.046794947327488</v>
      </c>
      <c r="Q69" s="2"/>
      <c r="R69" s="2"/>
      <c r="S69" s="2"/>
      <c r="T69" s="2"/>
      <c r="U69" s="2"/>
      <c r="V69" s="2"/>
      <c r="Z69" s="2"/>
      <c r="AA69" s="2"/>
      <c r="AB69" s="2"/>
      <c r="AC69" s="2"/>
      <c r="AD69" s="2"/>
      <c r="AE69" s="2"/>
    </row>
    <row r="70" spans="1:31" x14ac:dyDescent="0.45">
      <c r="A70" s="1" t="s">
        <v>196</v>
      </c>
      <c r="D70" s="2"/>
      <c r="H70" s="2">
        <f>D57</f>
        <v>3.1586827983091208</v>
      </c>
      <c r="I70" s="1">
        <f>C13+C15</f>
        <v>2.1</v>
      </c>
      <c r="K70" s="3">
        <f>D177</f>
        <v>9.4576632730675598</v>
      </c>
      <c r="M70" s="2">
        <f t="shared" si="0"/>
        <v>6.6332338764491539</v>
      </c>
      <c r="N70" s="2">
        <f t="shared" si="1"/>
        <v>29.873758292838438</v>
      </c>
      <c r="Q70" s="2"/>
      <c r="R70" s="2"/>
      <c r="S70" s="2"/>
      <c r="T70" s="2"/>
      <c r="U70" s="2"/>
      <c r="V70" s="2"/>
      <c r="Z70" s="2"/>
      <c r="AA70" s="2"/>
      <c r="AB70" s="2"/>
      <c r="AC70" s="2"/>
      <c r="AD70" s="2"/>
      <c r="AE70" s="2"/>
    </row>
    <row r="71" spans="1:31" x14ac:dyDescent="0.45">
      <c r="A71" s="1" t="s">
        <v>197</v>
      </c>
      <c r="D71" s="2"/>
      <c r="H71" s="2">
        <f>E134</f>
        <v>1.8952096789854724</v>
      </c>
      <c r="I71" s="1">
        <f>C13/2+C15</f>
        <v>1.35</v>
      </c>
      <c r="K71" s="3">
        <f>D168</f>
        <v>7.2342657994038149</v>
      </c>
      <c r="M71" s="2">
        <f t="shared" si="0"/>
        <v>2.558533066630388</v>
      </c>
      <c r="N71" s="2">
        <f t="shared" si="1"/>
        <v>13.710450563383686</v>
      </c>
      <c r="Q71" s="2"/>
      <c r="R71" s="2"/>
      <c r="S71" s="2"/>
      <c r="T71" s="2"/>
      <c r="U71" s="2"/>
      <c r="V71" s="2"/>
      <c r="Z71" s="2"/>
      <c r="AA71" s="2"/>
      <c r="AB71" s="2"/>
      <c r="AC71" s="2"/>
      <c r="AD71" s="2"/>
      <c r="AE71" s="2"/>
    </row>
    <row r="72" spans="1:31" x14ac:dyDescent="0.45">
      <c r="A72" s="1" t="s">
        <v>198</v>
      </c>
      <c r="C72" s="1" t="s">
        <v>58</v>
      </c>
      <c r="H72" s="2"/>
      <c r="I72" s="1">
        <f>C13/2+C15</f>
        <v>1.35</v>
      </c>
      <c r="J72" s="1" t="s">
        <v>75</v>
      </c>
      <c r="K72" s="3">
        <f>D159</f>
        <v>6.35</v>
      </c>
      <c r="M72" s="2">
        <f t="shared" si="0"/>
        <v>0</v>
      </c>
      <c r="N72" s="2">
        <f t="shared" si="1"/>
        <v>0</v>
      </c>
      <c r="Q72" s="2">
        <v>16.239459501620495</v>
      </c>
      <c r="R72" s="2">
        <v>16.239459501620495</v>
      </c>
      <c r="S72" s="2">
        <v>16.239459501620495</v>
      </c>
      <c r="T72" s="2">
        <v>16.239459501620495</v>
      </c>
      <c r="U72" s="2">
        <v>16.239459501620495</v>
      </c>
      <c r="V72" s="2">
        <v>16.239459501620495</v>
      </c>
      <c r="Z72" s="2"/>
      <c r="AA72" s="2"/>
      <c r="AB72" s="2"/>
      <c r="AC72" s="2"/>
      <c r="AD72" s="2"/>
      <c r="AE72" s="2"/>
    </row>
    <row r="73" spans="1:31" x14ac:dyDescent="0.45">
      <c r="A73" s="1" t="s">
        <v>200</v>
      </c>
      <c r="D73" s="2"/>
      <c r="H73" s="2">
        <f>2*100/1000</f>
        <v>0.2</v>
      </c>
      <c r="K73" s="3">
        <f>D150</f>
        <v>3.55</v>
      </c>
      <c r="M73" s="2">
        <f t="shared" si="0"/>
        <v>0</v>
      </c>
      <c r="N73" s="2">
        <f t="shared" si="1"/>
        <v>0.71</v>
      </c>
      <c r="Q73" s="2"/>
      <c r="R73" s="2"/>
      <c r="S73" s="2"/>
      <c r="T73" s="2"/>
      <c r="U73" s="2"/>
      <c r="V73" s="2"/>
      <c r="Z73" s="2"/>
      <c r="AA73" s="2"/>
      <c r="AB73" s="2"/>
      <c r="AC73" s="2"/>
      <c r="AD73" s="2"/>
      <c r="AE73" s="2"/>
    </row>
    <row r="74" spans="1:31" x14ac:dyDescent="0.45">
      <c r="A74" s="1" t="s">
        <v>199</v>
      </c>
      <c r="D74" s="2"/>
      <c r="H74" s="2">
        <f>4*100/1000</f>
        <v>0.4</v>
      </c>
      <c r="K74" s="3">
        <f>D150</f>
        <v>3.55</v>
      </c>
      <c r="M74" s="2">
        <f t="shared" si="0"/>
        <v>0</v>
      </c>
      <c r="N74" s="2">
        <f t="shared" si="1"/>
        <v>1.42</v>
      </c>
      <c r="Q74" s="2"/>
      <c r="R74" s="2"/>
      <c r="S74" s="2"/>
      <c r="T74" s="2"/>
      <c r="U74" s="2"/>
      <c r="V74" s="2"/>
      <c r="Z74" s="2"/>
      <c r="AA74" s="2"/>
      <c r="AB74" s="2"/>
      <c r="AC74" s="2"/>
      <c r="AD74" s="2"/>
      <c r="AE74" s="2"/>
    </row>
    <row r="75" spans="1:31" x14ac:dyDescent="0.45">
      <c r="D75" s="2"/>
      <c r="H75" s="2"/>
      <c r="K75" s="3"/>
      <c r="M75" s="2"/>
      <c r="N75" s="2"/>
      <c r="Q75" s="2"/>
      <c r="R75" s="2"/>
      <c r="S75" s="2"/>
      <c r="T75" s="2"/>
      <c r="U75" s="2"/>
      <c r="V75" s="2"/>
      <c r="Z75" s="2"/>
      <c r="AA75" s="2"/>
      <c r="AB75" s="2"/>
      <c r="AC75" s="2"/>
      <c r="AD75" s="2"/>
      <c r="AE75" s="2"/>
    </row>
    <row r="76" spans="1:31" x14ac:dyDescent="0.45">
      <c r="A76" s="1" t="s">
        <v>194</v>
      </c>
      <c r="C76" s="2">
        <v>58.007479605089607</v>
      </c>
      <c r="D76" s="2"/>
      <c r="F76" s="6"/>
      <c r="H76" s="2">
        <f>D188*$C$1/1000*C76/100</f>
        <v>4.0347022012226894</v>
      </c>
      <c r="I76" s="1">
        <f>$C$14*C76/100</f>
        <v>1.2181570717068819</v>
      </c>
      <c r="J76" s="8"/>
      <c r="K76" s="3">
        <f>D186</f>
        <v>12.046794947327488</v>
      </c>
      <c r="M76" s="2">
        <f t="shared" si="0"/>
        <v>4.9149010186507418</v>
      </c>
      <c r="N76" s="2">
        <f t="shared" si="1"/>
        <v>48.605230091660587</v>
      </c>
      <c r="Q76" s="2"/>
      <c r="R76" s="2"/>
      <c r="S76" s="2"/>
      <c r="T76" s="2"/>
      <c r="U76" s="2"/>
      <c r="V76" s="2"/>
      <c r="Z76" s="2"/>
      <c r="AA76" s="2"/>
      <c r="AB76" s="2"/>
      <c r="AC76" s="2"/>
      <c r="AD76" s="2"/>
      <c r="AE76" s="2"/>
    </row>
    <row r="77" spans="1:31" x14ac:dyDescent="0.45">
      <c r="A77" s="1" t="s">
        <v>193</v>
      </c>
      <c r="C77" s="2">
        <v>100</v>
      </c>
      <c r="D77" s="2"/>
      <c r="F77" s="6"/>
      <c r="H77" s="2">
        <f>D179*$C$1/1000*C77/100</f>
        <v>29.061852789208277</v>
      </c>
      <c r="I77" s="1">
        <f t="shared" ref="I77:I80" si="2">$C$14*C77/100</f>
        <v>2.1</v>
      </c>
      <c r="J77" s="8"/>
      <c r="K77" s="3">
        <f>D177</f>
        <v>9.4576632730675598</v>
      </c>
      <c r="M77" s="2">
        <f t="shared" si="0"/>
        <v>61.029890857337385</v>
      </c>
      <c r="N77" s="2">
        <f t="shared" si="1"/>
        <v>274.85721777179117</v>
      </c>
      <c r="Q77" s="2"/>
      <c r="R77" s="2"/>
      <c r="S77" s="2"/>
      <c r="T77" s="2"/>
      <c r="U77" s="2"/>
      <c r="V77" s="2"/>
      <c r="Z77" s="2"/>
      <c r="AA77" s="2"/>
      <c r="AB77" s="2"/>
      <c r="AC77" s="2"/>
      <c r="AD77" s="2"/>
      <c r="AE77" s="2"/>
    </row>
    <row r="78" spans="1:31" x14ac:dyDescent="0.45">
      <c r="A78" s="1" t="s">
        <v>192</v>
      </c>
      <c r="C78" s="2">
        <v>24.442043295205149</v>
      </c>
      <c r="D78" s="2"/>
      <c r="F78" s="6"/>
      <c r="H78" s="2">
        <f>D170*$C$1/1000*C78/100</f>
        <v>0.45652061734328536</v>
      </c>
      <c r="I78" s="1">
        <f t="shared" si="2"/>
        <v>0.51328290919930819</v>
      </c>
      <c r="J78" s="8"/>
      <c r="K78" s="3">
        <f>D168</f>
        <v>7.2342657994038149</v>
      </c>
      <c r="M78" s="2">
        <f t="shared" si="0"/>
        <v>0.23432423057942567</v>
      </c>
      <c r="N78" s="2">
        <f t="shared" si="1"/>
        <v>3.3025914887692451</v>
      </c>
      <c r="Q78" s="2"/>
      <c r="R78" s="2"/>
      <c r="S78" s="2"/>
      <c r="T78" s="2"/>
      <c r="U78" s="2"/>
      <c r="V78" s="2"/>
      <c r="Z78" s="2"/>
      <c r="AA78" s="2"/>
      <c r="AB78" s="2"/>
      <c r="AC78" s="2"/>
      <c r="AD78" s="2"/>
      <c r="AE78" s="2"/>
    </row>
    <row r="79" spans="1:31" x14ac:dyDescent="0.45">
      <c r="A79" s="1" t="s">
        <v>50</v>
      </c>
      <c r="C79" s="2">
        <v>79.027345427763137</v>
      </c>
      <c r="D79" s="2"/>
      <c r="F79" s="6" t="s">
        <v>78</v>
      </c>
      <c r="H79" s="2">
        <f>D55*$C$1/1000*C79/100</f>
        <v>25.586287451367603</v>
      </c>
      <c r="I79" s="1">
        <f t="shared" si="2"/>
        <v>1.659574253983026</v>
      </c>
      <c r="J79" s="8" t="s">
        <v>77</v>
      </c>
      <c r="K79" s="3">
        <f>D159</f>
        <v>6.35</v>
      </c>
      <c r="M79" s="2">
        <f t="shared" si="0"/>
        <v>42.462343909298653</v>
      </c>
      <c r="N79" s="2">
        <f t="shared" si="1"/>
        <v>162.47292531618427</v>
      </c>
      <c r="Q79" s="2">
        <v>23.12922295003467</v>
      </c>
      <c r="R79" s="2">
        <v>23.153743297469486</v>
      </c>
      <c r="S79" s="2">
        <v>21.28055948051755</v>
      </c>
      <c r="T79" s="2">
        <v>21.29768032897255</v>
      </c>
      <c r="U79" s="2">
        <v>20.523472784352336</v>
      </c>
      <c r="V79" s="2">
        <v>20.544291616938935</v>
      </c>
      <c r="Z79" s="2"/>
      <c r="AA79" s="2"/>
      <c r="AB79" s="2"/>
      <c r="AC79" s="2"/>
      <c r="AD79" s="2"/>
      <c r="AE79" s="2"/>
    </row>
    <row r="80" spans="1:31" x14ac:dyDescent="0.45">
      <c r="A80" s="1" t="s">
        <v>49</v>
      </c>
      <c r="C80" s="2">
        <v>72.1674082867153</v>
      </c>
      <c r="D80" s="2"/>
      <c r="F80" s="6" t="s">
        <v>79</v>
      </c>
      <c r="H80" s="2">
        <f>D152*$C$1/1000*C80/100</f>
        <v>20.580335717363869</v>
      </c>
      <c r="I80" s="1">
        <f t="shared" si="2"/>
        <v>1.5155155740210213</v>
      </c>
      <c r="J80" s="8" t="s">
        <v>76</v>
      </c>
      <c r="K80" s="3">
        <f>D150</f>
        <v>3.55</v>
      </c>
      <c r="M80" s="2">
        <f t="shared" si="0"/>
        <v>31.189819298246032</v>
      </c>
      <c r="N80" s="2">
        <f t="shared" si="1"/>
        <v>73.060191796641732</v>
      </c>
      <c r="Q80" s="2">
        <v>33.314798646876582</v>
      </c>
      <c r="R80" s="2">
        <v>33.23362649755061</v>
      </c>
      <c r="S80" s="2">
        <v>31.322543082575475</v>
      </c>
      <c r="T80" s="2">
        <v>31.263442976830937</v>
      </c>
      <c r="U80" s="2">
        <v>30.037863642465016</v>
      </c>
      <c r="V80" s="2">
        <v>29.96682388813597</v>
      </c>
      <c r="Z80" s="2"/>
      <c r="AA80" s="2"/>
      <c r="AB80" s="2"/>
      <c r="AC80" s="2"/>
      <c r="AD80" s="2"/>
      <c r="AE80" s="2"/>
    </row>
    <row r="82" spans="1:31" x14ac:dyDescent="0.45">
      <c r="C82" s="2"/>
      <c r="D82" s="2"/>
      <c r="F82" s="6"/>
      <c r="H82" s="2"/>
      <c r="J82" s="8"/>
      <c r="K82" s="3"/>
      <c r="M82" s="2"/>
      <c r="N82" s="2"/>
      <c r="Q82" s="2"/>
      <c r="R82" s="2"/>
      <c r="S82" s="2"/>
      <c r="T82" s="2"/>
      <c r="U82" s="2"/>
      <c r="V82" s="2"/>
      <c r="Z82" s="2"/>
      <c r="AA82" s="2"/>
      <c r="AB82" s="2"/>
      <c r="AC82" s="2"/>
      <c r="AD82" s="2"/>
      <c r="AE82" s="2"/>
    </row>
    <row r="83" spans="1:31" x14ac:dyDescent="0.45">
      <c r="D83" s="2"/>
      <c r="Q83" s="2"/>
      <c r="R83" s="2"/>
      <c r="S83" s="2"/>
      <c r="T83" s="2"/>
      <c r="U83" s="2"/>
      <c r="V83" s="2"/>
      <c r="Z83" s="2"/>
      <c r="AA83" s="2"/>
      <c r="AB83" s="2"/>
      <c r="AC83" s="2"/>
      <c r="AD83" s="2"/>
      <c r="AE83" s="2"/>
    </row>
    <row r="84" spans="1:31" x14ac:dyDescent="0.45">
      <c r="D84" s="2"/>
      <c r="F84" s="12" t="s">
        <v>59</v>
      </c>
      <c r="H84" s="13">
        <f>SUM(H66:H80)</f>
        <v>96.695425387715588</v>
      </c>
      <c r="I84" s="14">
        <f>M84/H84</f>
        <v>1.7732369163370685</v>
      </c>
      <c r="K84" s="15">
        <f>N84/H84</f>
        <v>7.145703669167915</v>
      </c>
      <c r="M84" s="2">
        <f>SUM(M66:M80)</f>
        <v>171.46389793841388</v>
      </c>
      <c r="N84" s="2">
        <f>SUM(N66:N80)</f>
        <v>690.95685598475166</v>
      </c>
      <c r="Q84" s="2">
        <v>141.45928955490271</v>
      </c>
      <c r="R84" s="2">
        <v>143.59017839476411</v>
      </c>
      <c r="S84" s="2">
        <v>141.99345180458965</v>
      </c>
      <c r="T84" s="2">
        <v>144.13901318905266</v>
      </c>
      <c r="U84" s="2">
        <v>144.32676695181911</v>
      </c>
      <c r="V84" s="2">
        <v>146.46408667182925</v>
      </c>
      <c r="Z84" s="2"/>
      <c r="AA84" s="2"/>
      <c r="AB84" s="2"/>
      <c r="AC84" s="2"/>
      <c r="AD84" s="2"/>
      <c r="AE84" s="2"/>
    </row>
    <row r="85" spans="1:31" x14ac:dyDescent="0.45">
      <c r="F85" s="12" t="s">
        <v>60</v>
      </c>
      <c r="H85" s="13">
        <f>C29</f>
        <v>96.217558201494583</v>
      </c>
      <c r="Q85" s="2">
        <v>140.0757624419349</v>
      </c>
      <c r="R85" s="2">
        <v>140.0757624419349</v>
      </c>
      <c r="S85" s="2">
        <v>140.0757624419349</v>
      </c>
      <c r="T85" s="2">
        <v>140.0757624419349</v>
      </c>
      <c r="U85" s="2">
        <v>140.0757624419349</v>
      </c>
      <c r="V85" s="2">
        <v>140.0757624419349</v>
      </c>
      <c r="Z85" s="2"/>
      <c r="AA85" s="2"/>
      <c r="AB85" s="2"/>
      <c r="AC85" s="2"/>
      <c r="AD85" s="2"/>
      <c r="AE85" s="2"/>
    </row>
    <row r="86" spans="1:31" x14ac:dyDescent="0.45">
      <c r="F86" s="12" t="s">
        <v>99</v>
      </c>
      <c r="H86" s="12">
        <f>C13+C15</f>
        <v>2.1</v>
      </c>
      <c r="I86" s="1" t="s">
        <v>101</v>
      </c>
      <c r="M86" s="1" t="s">
        <v>102</v>
      </c>
    </row>
    <row r="87" spans="1:31" x14ac:dyDescent="0.45">
      <c r="F87" s="12" t="s">
        <v>100</v>
      </c>
      <c r="H87" s="12">
        <f>C16/2</f>
        <v>7.14</v>
      </c>
    </row>
    <row r="88" spans="1:31" x14ac:dyDescent="0.45">
      <c r="C88" s="11"/>
    </row>
    <row r="89" spans="1:31" x14ac:dyDescent="0.45">
      <c r="G89" s="3"/>
      <c r="K89" s="3"/>
    </row>
    <row r="90" spans="1:31" x14ac:dyDescent="0.45">
      <c r="D90" s="1" t="s">
        <v>103</v>
      </c>
      <c r="G90" s="17">
        <f>ATAN(ABS(C16/2-K84)/ABS(H86-I84))*180/PI()</f>
        <v>0.99999970664052107</v>
      </c>
      <c r="H90" s="1" t="s">
        <v>56</v>
      </c>
    </row>
    <row r="91" spans="1:31" x14ac:dyDescent="0.45">
      <c r="K91" s="3"/>
    </row>
    <row r="92" spans="1:31" x14ac:dyDescent="0.45">
      <c r="K92" s="3"/>
    </row>
    <row r="93" spans="1:31" x14ac:dyDescent="0.45">
      <c r="K93" s="3"/>
    </row>
    <row r="94" spans="1:31" x14ac:dyDescent="0.45">
      <c r="A94" s="1" t="s">
        <v>105</v>
      </c>
      <c r="K94" s="3"/>
    </row>
    <row r="95" spans="1:31" x14ac:dyDescent="0.45">
      <c r="K95" s="3"/>
    </row>
    <row r="96" spans="1:31" x14ac:dyDescent="0.45">
      <c r="A96" s="1" t="s">
        <v>41</v>
      </c>
      <c r="F96" s="4">
        <v>1.5</v>
      </c>
      <c r="G96" s="1" t="s">
        <v>0</v>
      </c>
    </row>
    <row r="98" spans="1:7" x14ac:dyDescent="0.45">
      <c r="A98" s="6" t="s">
        <v>55</v>
      </c>
      <c r="F98" s="5">
        <f>MAX(0,SIGN(2*C13-F96))*C12+2*SQRT(MAX(0, C13^2-(C13-F96)^2))</f>
        <v>14.28</v>
      </c>
      <c r="G98" s="1" t="s">
        <v>0</v>
      </c>
    </row>
    <row r="99" spans="1:7" x14ac:dyDescent="0.45">
      <c r="A99" s="1" t="s">
        <v>45</v>
      </c>
      <c r="F99" s="5">
        <f>2*SQRT(MAX(0,C13^2-(C13-F96)^2))</f>
        <v>3</v>
      </c>
      <c r="G99" s="1" t="s">
        <v>0</v>
      </c>
    </row>
    <row r="100" spans="1:7" x14ac:dyDescent="0.45">
      <c r="A100" s="1" t="s">
        <v>46</v>
      </c>
      <c r="F100" s="3">
        <f>(C13^2*(PI()-ACOS(MIN(1, (F96-C13)/C13)))+(F96-C13)*F99/2)*C12</f>
        <v>39.866810774054471</v>
      </c>
      <c r="G100" s="1" t="s">
        <v>15</v>
      </c>
    </row>
    <row r="101" spans="1:7" x14ac:dyDescent="0.45">
      <c r="A101" s="1" t="s">
        <v>47</v>
      </c>
      <c r="F101" s="3">
        <f>PI()/3*(4*C13^3-MAX(0, 2*C13-F96)^2*(C13+F96))</f>
        <v>7.0685834705770336</v>
      </c>
      <c r="G101" s="1" t="s">
        <v>15</v>
      </c>
    </row>
    <row r="102" spans="1:7" x14ac:dyDescent="0.45">
      <c r="A102" s="1" t="s">
        <v>61</v>
      </c>
      <c r="F102" s="3">
        <f>F100+F101</f>
        <v>46.935394244631503</v>
      </c>
      <c r="G102" s="1" t="s">
        <v>15</v>
      </c>
    </row>
    <row r="103" spans="1:7" x14ac:dyDescent="0.45">
      <c r="A103" s="1" t="s">
        <v>43</v>
      </c>
      <c r="F103" s="3">
        <f>F104+F105-I84</f>
        <v>31.106763083662933</v>
      </c>
      <c r="G103" s="1" t="s">
        <v>0</v>
      </c>
    </row>
    <row r="104" spans="1:7" x14ac:dyDescent="0.45">
      <c r="A104" s="1" t="s">
        <v>44</v>
      </c>
      <c r="F104" s="3">
        <f>F98*F99^3/12</f>
        <v>32.130000000000003</v>
      </c>
      <c r="G104" s="1" t="s">
        <v>0</v>
      </c>
    </row>
    <row r="105" spans="1:7" x14ac:dyDescent="0.45">
      <c r="A105" s="1" t="s">
        <v>104</v>
      </c>
      <c r="F105" s="1">
        <f>F96/2</f>
        <v>0.75</v>
      </c>
      <c r="G105" s="1" t="s">
        <v>0</v>
      </c>
    </row>
    <row r="108" spans="1:7" x14ac:dyDescent="0.45">
      <c r="A108" s="12" t="s">
        <v>97</v>
      </c>
    </row>
    <row r="110" spans="1:7" x14ac:dyDescent="0.45">
      <c r="A110" s="12" t="s">
        <v>54</v>
      </c>
      <c r="F110" s="1" t="s">
        <v>121</v>
      </c>
    </row>
    <row r="111" spans="1:7" x14ac:dyDescent="0.45">
      <c r="A111" s="1" t="s">
        <v>180</v>
      </c>
      <c r="B111" s="1" t="s">
        <v>51</v>
      </c>
      <c r="C111" s="2">
        <v>0.41170000000000001</v>
      </c>
      <c r="D111" s="2">
        <v>4.0999999999999996</v>
      </c>
      <c r="E111" s="1" t="s">
        <v>0</v>
      </c>
      <c r="F111" s="1">
        <v>4.0999999999999996</v>
      </c>
      <c r="G111" s="1" t="s">
        <v>0</v>
      </c>
    </row>
    <row r="112" spans="1:7" x14ac:dyDescent="0.45">
      <c r="A112" s="1" t="s">
        <v>181</v>
      </c>
      <c r="B112" s="1" t="s">
        <v>51</v>
      </c>
      <c r="C112" s="2">
        <v>0.22</v>
      </c>
      <c r="D112" s="2">
        <v>1.5</v>
      </c>
      <c r="E112" s="1" t="s">
        <v>0</v>
      </c>
    </row>
    <row r="113" spans="1:8" x14ac:dyDescent="0.45">
      <c r="A113" s="1" t="s">
        <v>182</v>
      </c>
      <c r="B113" s="1" t="s">
        <v>51</v>
      </c>
      <c r="C113" s="2">
        <v>0.22</v>
      </c>
      <c r="D113" s="21">
        <f>C135</f>
        <v>0.26853159880763061</v>
      </c>
      <c r="E113" s="1" t="s">
        <v>0</v>
      </c>
    </row>
    <row r="114" spans="1:8" x14ac:dyDescent="0.45">
      <c r="A114" s="1" t="s">
        <v>172</v>
      </c>
      <c r="B114" s="1" t="s">
        <v>51</v>
      </c>
      <c r="C114" s="2">
        <v>0.22</v>
      </c>
      <c r="D114" s="21">
        <f>(15.385*D55+3692.3)/1000</f>
        <v>4.1782633485198586</v>
      </c>
      <c r="E114" s="1" t="s">
        <v>0</v>
      </c>
    </row>
    <row r="115" spans="1:8" x14ac:dyDescent="0.45">
      <c r="A115" s="1" t="s">
        <v>183</v>
      </c>
      <c r="B115" s="1" t="s">
        <v>51</v>
      </c>
      <c r="C115" s="2">
        <v>0.22</v>
      </c>
      <c r="D115" s="2">
        <v>1</v>
      </c>
      <c r="E115" s="1" t="s">
        <v>0</v>
      </c>
    </row>
    <row r="116" spans="1:8" x14ac:dyDescent="0.45">
      <c r="C116" s="2"/>
      <c r="D116" s="2">
        <f>SUM(D111:D115)</f>
        <v>11.046794947327488</v>
      </c>
    </row>
    <row r="117" spans="1:8" x14ac:dyDescent="0.45">
      <c r="C117" s="2"/>
      <c r="D117" s="2"/>
    </row>
    <row r="118" spans="1:8" x14ac:dyDescent="0.45">
      <c r="C118" s="2"/>
      <c r="D118" s="2"/>
    </row>
    <row r="119" spans="1:8" x14ac:dyDescent="0.45">
      <c r="D119" s="2"/>
    </row>
    <row r="121" spans="1:8" x14ac:dyDescent="0.45">
      <c r="A121" s="1" t="s">
        <v>128</v>
      </c>
      <c r="D121" s="2"/>
    </row>
    <row r="122" spans="1:8" x14ac:dyDescent="0.45">
      <c r="A122" s="1" t="s">
        <v>129</v>
      </c>
      <c r="D122" s="2"/>
      <c r="G122" s="1" t="s">
        <v>177</v>
      </c>
      <c r="H122" s="1" t="s">
        <v>178</v>
      </c>
    </row>
    <row r="123" spans="1:8" x14ac:dyDescent="0.45">
      <c r="D123" s="2"/>
      <c r="G123" s="1">
        <v>20</v>
      </c>
      <c r="H123" s="1">
        <v>150</v>
      </c>
    </row>
    <row r="124" spans="1:8" x14ac:dyDescent="0.45">
      <c r="A124" s="1" t="s">
        <v>136</v>
      </c>
      <c r="D124" s="2"/>
      <c r="E124" s="1" t="s">
        <v>173</v>
      </c>
      <c r="F124" s="1">
        <v>1950</v>
      </c>
      <c r="G124" s="1">
        <v>4000</v>
      </c>
      <c r="H124" s="1">
        <v>6000</v>
      </c>
    </row>
    <row r="125" spans="1:8" x14ac:dyDescent="0.45">
      <c r="A125" s="1" t="s">
        <v>138</v>
      </c>
      <c r="B125" s="18">
        <v>24</v>
      </c>
      <c r="C125" s="1" t="s">
        <v>137</v>
      </c>
      <c r="D125" s="2"/>
      <c r="E125" s="1" t="s">
        <v>174</v>
      </c>
      <c r="F125" s="1">
        <v>1435</v>
      </c>
      <c r="G125" s="1">
        <f>F125</f>
        <v>1435</v>
      </c>
      <c r="H125" s="1">
        <f>G125</f>
        <v>1435</v>
      </c>
    </row>
    <row r="126" spans="1:8" x14ac:dyDescent="0.45">
      <c r="A126" s="1" t="s">
        <v>139</v>
      </c>
      <c r="B126" s="18">
        <v>500</v>
      </c>
      <c r="C126" s="1" t="s">
        <v>140</v>
      </c>
      <c r="D126" s="2"/>
      <c r="E126" s="1" t="s">
        <v>175</v>
      </c>
      <c r="F126" s="1">
        <v>2340</v>
      </c>
      <c r="G126" s="1">
        <f>F126</f>
        <v>2340</v>
      </c>
      <c r="H126" s="1">
        <f>G126</f>
        <v>2340</v>
      </c>
    </row>
    <row r="127" spans="1:8" x14ac:dyDescent="0.45">
      <c r="A127" s="1" t="s">
        <v>207</v>
      </c>
      <c r="B127" s="18">
        <v>2</v>
      </c>
      <c r="C127" s="1" t="s">
        <v>137</v>
      </c>
      <c r="D127" s="2"/>
      <c r="E127" s="1" t="s">
        <v>176</v>
      </c>
      <c r="F127" s="2">
        <f>F124*F125*F126/1000000000</f>
        <v>6.5479050000000001</v>
      </c>
      <c r="G127" s="2">
        <f>G124*G125*G126/1000000000</f>
        <v>13.4316</v>
      </c>
      <c r="H127" s="2">
        <f>H124*H125*H126/1000000000</f>
        <v>20.147400000000001</v>
      </c>
    </row>
    <row r="128" spans="1:8" x14ac:dyDescent="0.45">
      <c r="D128" s="2"/>
      <c r="E128" s="1" t="s">
        <v>179</v>
      </c>
      <c r="F128" s="2"/>
    </row>
    <row r="129" spans="1:7" x14ac:dyDescent="0.45">
      <c r="D129" s="2"/>
      <c r="F129" s="2"/>
    </row>
    <row r="130" spans="1:7" x14ac:dyDescent="0.45">
      <c r="D130" s="2"/>
    </row>
    <row r="131" spans="1:7" x14ac:dyDescent="0.45">
      <c r="A131" s="1" t="s">
        <v>130</v>
      </c>
      <c r="D131" s="1" t="s">
        <v>135</v>
      </c>
      <c r="E131" s="2" t="s">
        <v>141</v>
      </c>
      <c r="F131" s="1" t="s">
        <v>169</v>
      </c>
      <c r="G131" s="2">
        <f>D55</f>
        <v>31.586827983091204</v>
      </c>
    </row>
    <row r="132" spans="1:7" x14ac:dyDescent="0.45">
      <c r="A132" s="1" t="s">
        <v>131</v>
      </c>
      <c r="B132" s="1">
        <v>0.8</v>
      </c>
      <c r="C132" s="1" t="s">
        <v>132</v>
      </c>
      <c r="D132" s="2">
        <v>789</v>
      </c>
      <c r="E132" s="3">
        <f>B132*B125*$G$131/1000</f>
        <v>0.6064670972753512</v>
      </c>
      <c r="F132" s="3">
        <f>E132/(D132/1000)</f>
        <v>0.76865284825773283</v>
      </c>
    </row>
    <row r="133" spans="1:7" x14ac:dyDescent="0.45">
      <c r="A133" s="1" t="s">
        <v>133</v>
      </c>
      <c r="B133" s="1">
        <v>1.7</v>
      </c>
      <c r="C133" s="1" t="s">
        <v>132</v>
      </c>
      <c r="D133" s="2">
        <v>1141</v>
      </c>
      <c r="E133" s="3">
        <f>B133*B125*$G$131/1000</f>
        <v>1.2887425817101212</v>
      </c>
      <c r="F133" s="3">
        <f>E133/(D133/1000)</f>
        <v>1.1294851724015085</v>
      </c>
    </row>
    <row r="134" spans="1:7" x14ac:dyDescent="0.45">
      <c r="D134" s="2" t="s">
        <v>170</v>
      </c>
      <c r="E134" s="3">
        <f>E132+E133</f>
        <v>1.8952096789854724</v>
      </c>
      <c r="F134" s="3">
        <f>F132+F133</f>
        <v>1.8981380206592413</v>
      </c>
    </row>
    <row r="135" spans="1:7" x14ac:dyDescent="0.45">
      <c r="A135" s="1" t="s">
        <v>171</v>
      </c>
      <c r="C135" s="3">
        <f>F134/(C13^2*PI())</f>
        <v>0.26853159880763061</v>
      </c>
      <c r="D135" s="2"/>
    </row>
    <row r="136" spans="1:7" x14ac:dyDescent="0.45">
      <c r="D136" s="2"/>
    </row>
    <row r="137" spans="1:7" x14ac:dyDescent="0.45">
      <c r="D137" s="2"/>
    </row>
    <row r="138" spans="1:7" x14ac:dyDescent="0.45">
      <c r="A138" s="1" t="s">
        <v>111</v>
      </c>
    </row>
    <row r="139" spans="1:7" x14ac:dyDescent="0.45">
      <c r="A139" s="1" t="s">
        <v>134</v>
      </c>
      <c r="D139" s="1">
        <f>15/150</f>
        <v>0.1</v>
      </c>
      <c r="E139" s="1" t="s">
        <v>112</v>
      </c>
    </row>
    <row r="141" spans="1:7" x14ac:dyDescent="0.45">
      <c r="A141" s="1" t="s">
        <v>114</v>
      </c>
      <c r="D141" s="1">
        <v>0.5</v>
      </c>
      <c r="E141" s="1" t="s">
        <v>112</v>
      </c>
    </row>
    <row r="142" spans="1:7" x14ac:dyDescent="0.45">
      <c r="A142" s="1" t="s">
        <v>115</v>
      </c>
      <c r="D142" s="1">
        <v>0.4</v>
      </c>
      <c r="E142" s="1" t="s">
        <v>113</v>
      </c>
    </row>
    <row r="146" spans="1:6" x14ac:dyDescent="0.45">
      <c r="A146" s="12" t="s">
        <v>191</v>
      </c>
    </row>
    <row r="147" spans="1:6" x14ac:dyDescent="0.45">
      <c r="A147" s="1" t="s">
        <v>106</v>
      </c>
      <c r="D147" s="1">
        <v>0</v>
      </c>
      <c r="E147" s="1" t="s">
        <v>56</v>
      </c>
    </row>
    <row r="148" spans="1:6" x14ac:dyDescent="0.45">
      <c r="A148" s="1" t="s">
        <v>107</v>
      </c>
      <c r="D148" s="1">
        <v>0</v>
      </c>
      <c r="E148" s="1" t="s">
        <v>56</v>
      </c>
    </row>
    <row r="149" spans="1:6" x14ac:dyDescent="0.45">
      <c r="A149" s="1" t="s">
        <v>108</v>
      </c>
      <c r="D149" s="1">
        <v>2.1</v>
      </c>
      <c r="E149" s="1" t="s">
        <v>0</v>
      </c>
    </row>
    <row r="150" spans="1:6" x14ac:dyDescent="0.45">
      <c r="A150" s="1" t="s">
        <v>109</v>
      </c>
      <c r="B150" s="1" t="s">
        <v>68</v>
      </c>
      <c r="D150" s="3">
        <f>C13+D111/2</f>
        <v>3.55</v>
      </c>
      <c r="E150" s="1" t="s">
        <v>0</v>
      </c>
    </row>
    <row r="151" spans="1:6" x14ac:dyDescent="0.45">
      <c r="A151" s="20" t="s">
        <v>167</v>
      </c>
      <c r="B151" s="1" t="s">
        <v>67</v>
      </c>
      <c r="D151" s="2">
        <f>C13^2*PI()*D111</f>
        <v>28.981192229365838</v>
      </c>
      <c r="E151" s="1" t="s">
        <v>15</v>
      </c>
    </row>
    <row r="152" spans="1:6" x14ac:dyDescent="0.45">
      <c r="A152" s="20" t="s">
        <v>168</v>
      </c>
      <c r="B152" s="8" t="s">
        <v>66</v>
      </c>
      <c r="D152" s="2">
        <f>PI()*(360-D147-D148)/360*-(C13^2-D149^2)*D111</f>
        <v>27.821944540191208</v>
      </c>
      <c r="E152" s="1" t="s">
        <v>15</v>
      </c>
      <c r="F152" s="2">
        <f>D152+D161+D170+D179+D188</f>
        <v>73.265324447893192</v>
      </c>
    </row>
    <row r="153" spans="1:6" x14ac:dyDescent="0.45">
      <c r="A153" s="20"/>
      <c r="B153" s="7"/>
      <c r="D153" s="2"/>
    </row>
    <row r="155" spans="1:6" x14ac:dyDescent="0.45">
      <c r="A155" s="12" t="s">
        <v>190</v>
      </c>
    </row>
    <row r="156" spans="1:6" x14ac:dyDescent="0.45">
      <c r="A156" s="1" t="s">
        <v>48</v>
      </c>
      <c r="D156" s="1">
        <v>30</v>
      </c>
      <c r="E156" s="1" t="s">
        <v>56</v>
      </c>
    </row>
    <row r="157" spans="1:6" x14ac:dyDescent="0.45">
      <c r="A157" s="1" t="s">
        <v>52</v>
      </c>
      <c r="D157" s="1">
        <v>30</v>
      </c>
      <c r="E157" s="1" t="s">
        <v>56</v>
      </c>
    </row>
    <row r="158" spans="1:6" x14ac:dyDescent="0.45">
      <c r="A158" s="1" t="s">
        <v>53</v>
      </c>
      <c r="D158" s="1">
        <f>C14</f>
        <v>2.1</v>
      </c>
      <c r="E158" s="1" t="s">
        <v>0</v>
      </c>
    </row>
    <row r="159" spans="1:6" x14ac:dyDescent="0.45">
      <c r="A159" s="1" t="s">
        <v>69</v>
      </c>
      <c r="B159" s="1" t="s">
        <v>70</v>
      </c>
      <c r="D159" s="3">
        <f>C13+D111+D112/2</f>
        <v>6.35</v>
      </c>
      <c r="E159" s="1" t="s">
        <v>0</v>
      </c>
    </row>
    <row r="160" spans="1:6" x14ac:dyDescent="0.45">
      <c r="A160" s="20" t="s">
        <v>122</v>
      </c>
      <c r="B160" s="1" t="s">
        <v>71</v>
      </c>
      <c r="D160" s="2">
        <f>C13^2*PI()*D112</f>
        <v>10.602875205865551</v>
      </c>
      <c r="E160" s="1" t="s">
        <v>15</v>
      </c>
    </row>
    <row r="161" spans="1:5" x14ac:dyDescent="0.45">
      <c r="A161" s="20" t="s">
        <v>123</v>
      </c>
      <c r="B161" s="8" t="s">
        <v>72</v>
      </c>
      <c r="D161" s="2">
        <f>PI()*(360-D156-D157)/360*-(C13^2-D158^2)*D112</f>
        <v>8.4823001646924432</v>
      </c>
      <c r="E161" s="1" t="s">
        <v>15</v>
      </c>
    </row>
    <row r="162" spans="1:5" x14ac:dyDescent="0.45">
      <c r="A162" s="20"/>
      <c r="B162" s="7"/>
      <c r="D162" s="2"/>
    </row>
    <row r="164" spans="1:5" x14ac:dyDescent="0.45">
      <c r="A164" s="12" t="s">
        <v>142</v>
      </c>
    </row>
    <row r="165" spans="1:5" x14ac:dyDescent="0.45">
      <c r="A165" s="1" t="s">
        <v>144</v>
      </c>
      <c r="D165" s="1">
        <v>0</v>
      </c>
      <c r="E165" s="1" t="s">
        <v>56</v>
      </c>
    </row>
    <row r="166" spans="1:5" x14ac:dyDescent="0.45">
      <c r="A166" s="1" t="s">
        <v>145</v>
      </c>
      <c r="D166" s="1">
        <v>0</v>
      </c>
      <c r="E166" s="1" t="s">
        <v>56</v>
      </c>
    </row>
    <row r="167" spans="1:5" x14ac:dyDescent="0.45">
      <c r="A167" s="1" t="s">
        <v>143</v>
      </c>
      <c r="D167" s="1">
        <f>C14</f>
        <v>2.1</v>
      </c>
      <c r="E167" s="1" t="s">
        <v>0</v>
      </c>
    </row>
    <row r="168" spans="1:5" x14ac:dyDescent="0.45">
      <c r="A168" s="1" t="s">
        <v>146</v>
      </c>
      <c r="B168" s="1" t="s">
        <v>124</v>
      </c>
      <c r="D168" s="3">
        <f>C13+D111+D112+D113/2</f>
        <v>7.2342657994038149</v>
      </c>
      <c r="E168" s="1" t="s">
        <v>0</v>
      </c>
    </row>
    <row r="169" spans="1:5" x14ac:dyDescent="0.45">
      <c r="A169" s="20" t="s">
        <v>156</v>
      </c>
      <c r="B169" s="1" t="s">
        <v>126</v>
      </c>
      <c r="D169" s="2">
        <f>C13^2*PI()*D113</f>
        <v>1.8981380206592415</v>
      </c>
      <c r="E169" s="1" t="s">
        <v>15</v>
      </c>
    </row>
    <row r="170" spans="1:5" x14ac:dyDescent="0.45">
      <c r="A170" s="20" t="s">
        <v>157</v>
      </c>
      <c r="B170" s="8" t="s">
        <v>164</v>
      </c>
      <c r="D170" s="2">
        <f>PI()*(360-D165-D166)/360*-(C13^2-D167^2)*D113</f>
        <v>1.8222124998328719</v>
      </c>
      <c r="E170" s="1" t="s">
        <v>15</v>
      </c>
    </row>
    <row r="171" spans="1:5" x14ac:dyDescent="0.45">
      <c r="A171" s="20"/>
      <c r="B171" s="7"/>
      <c r="D171" s="2"/>
    </row>
    <row r="173" spans="1:5" x14ac:dyDescent="0.45">
      <c r="A173" s="12" t="s">
        <v>147</v>
      </c>
    </row>
    <row r="174" spans="1:5" x14ac:dyDescent="0.45">
      <c r="A174" s="1" t="s">
        <v>148</v>
      </c>
      <c r="D174" s="1">
        <v>0</v>
      </c>
      <c r="E174" s="1" t="s">
        <v>56</v>
      </c>
    </row>
    <row r="175" spans="1:5" x14ac:dyDescent="0.45">
      <c r="A175" s="1" t="s">
        <v>149</v>
      </c>
      <c r="D175" s="1">
        <v>0</v>
      </c>
      <c r="E175" s="1" t="s">
        <v>56</v>
      </c>
    </row>
    <row r="176" spans="1:5" x14ac:dyDescent="0.45">
      <c r="A176" s="1" t="s">
        <v>150</v>
      </c>
      <c r="D176" s="1">
        <f>C14</f>
        <v>2.1</v>
      </c>
      <c r="E176" s="1" t="s">
        <v>0</v>
      </c>
    </row>
    <row r="177" spans="1:5" x14ac:dyDescent="0.45">
      <c r="A177" s="1" t="s">
        <v>151</v>
      </c>
      <c r="B177" s="1" t="s">
        <v>152</v>
      </c>
      <c r="D177" s="3">
        <f>C13+D111+D112+D113+D114/2</f>
        <v>9.4576632730675598</v>
      </c>
      <c r="E177" s="1" t="s">
        <v>0</v>
      </c>
    </row>
    <row r="178" spans="1:5" x14ac:dyDescent="0.45">
      <c r="A178" s="20" t="s">
        <v>153</v>
      </c>
      <c r="B178" s="1" t="s">
        <v>154</v>
      </c>
      <c r="D178" s="2">
        <f>C13^2*PI()*D114</f>
        <v>29.534403241065323</v>
      </c>
      <c r="E178" s="1" t="s">
        <v>15</v>
      </c>
    </row>
    <row r="179" spans="1:5" x14ac:dyDescent="0.45">
      <c r="A179" s="20" t="s">
        <v>155</v>
      </c>
      <c r="B179" s="8" t="s">
        <v>165</v>
      </c>
      <c r="D179" s="2">
        <f>PI()*(360-D174-D175)/360*-(C13^2-D176^2)*D114</f>
        <v>28.353027111422712</v>
      </c>
      <c r="E179" s="1" t="s">
        <v>15</v>
      </c>
    </row>
    <row r="180" spans="1:5" x14ac:dyDescent="0.45">
      <c r="A180" s="20"/>
      <c r="B180" s="7"/>
      <c r="D180" s="2"/>
    </row>
    <row r="182" spans="1:5" x14ac:dyDescent="0.45">
      <c r="A182" s="12" t="s">
        <v>158</v>
      </c>
    </row>
    <row r="183" spans="1:5" x14ac:dyDescent="0.45">
      <c r="A183" s="1" t="s">
        <v>188</v>
      </c>
      <c r="D183" s="1">
        <v>0</v>
      </c>
      <c r="E183" s="1" t="s">
        <v>56</v>
      </c>
    </row>
    <row r="184" spans="1:5" x14ac:dyDescent="0.45">
      <c r="A184" s="1" t="s">
        <v>159</v>
      </c>
      <c r="D184" s="1">
        <v>0</v>
      </c>
      <c r="E184" s="1" t="s">
        <v>56</v>
      </c>
    </row>
    <row r="185" spans="1:5" x14ac:dyDescent="0.45">
      <c r="A185" s="1" t="s">
        <v>160</v>
      </c>
      <c r="D185" s="1">
        <f>C14</f>
        <v>2.1</v>
      </c>
      <c r="E185" s="1" t="s">
        <v>0</v>
      </c>
    </row>
    <row r="186" spans="1:5" x14ac:dyDescent="0.45">
      <c r="A186" s="1" t="s">
        <v>161</v>
      </c>
      <c r="B186" s="1" t="s">
        <v>125</v>
      </c>
      <c r="D186" s="3">
        <f>C13+D111+D112+D113+D114+D115/2</f>
        <v>12.046794947327488</v>
      </c>
      <c r="E186" s="1" t="s">
        <v>0</v>
      </c>
    </row>
    <row r="187" spans="1:5" x14ac:dyDescent="0.45">
      <c r="A187" s="20" t="s">
        <v>162</v>
      </c>
      <c r="B187" s="1" t="s">
        <v>127</v>
      </c>
      <c r="D187" s="2">
        <f>C13^2*PI()*D115</f>
        <v>7.0685834705770345</v>
      </c>
      <c r="E187" s="1" t="s">
        <v>15</v>
      </c>
    </row>
    <row r="188" spans="1:5" x14ac:dyDescent="0.45">
      <c r="A188" s="20" t="s">
        <v>163</v>
      </c>
      <c r="B188" s="8" t="s">
        <v>166</v>
      </c>
      <c r="D188" s="2">
        <f>PI()*(360-D183-D184)/360*-(C13^2-D185^2)*D115</f>
        <v>6.7858401317539538</v>
      </c>
      <c r="E188" s="1" t="s">
        <v>15</v>
      </c>
    </row>
    <row r="189" spans="1:5" x14ac:dyDescent="0.45">
      <c r="A189" s="20"/>
      <c r="B189" s="7"/>
      <c r="D189" s="2"/>
    </row>
    <row r="195" spans="1:4" x14ac:dyDescent="0.45">
      <c r="A195" s="12"/>
    </row>
    <row r="196" spans="1:4" x14ac:dyDescent="0.45">
      <c r="D196" s="2"/>
    </row>
    <row r="197" spans="1:4" x14ac:dyDescent="0.45">
      <c r="D197" s="3"/>
    </row>
  </sheetData>
  <scenarios current="0">
    <scenario name="stem1" count="2" user="Windows korisnik" comment="Created by Windows korisnik on 4/4/2019">
      <inputCells r="C79" val="50.0766968954303"/>
      <inputCells r="C70" undone="1" val="60.0823042674936"/>
    </scenario>
  </scenarios>
  <pageMargins left="0.7" right="0.7" top="0.75" bottom="0.75" header="0.3" footer="0.3"/>
  <pageSetup paperSize="9" scale="32" fitToHeight="0" orientation="portrait" r:id="rId1"/>
  <rowBreaks count="1" manualBreakCount="1">
    <brk id="88" max="14" man="1"/>
  </rowBreaks>
  <colBreaks count="1" manualBreakCount="1">
    <brk id="25" max="12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Podmornica</vt:lpstr>
      <vt:lpstr>Podmornica!Print_Area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cp:lastPrinted>2019-05-02T22:51:43Z</cp:lastPrinted>
  <dcterms:created xsi:type="dcterms:W3CDTF">2019-03-16T23:26:43Z</dcterms:created>
  <dcterms:modified xsi:type="dcterms:W3CDTF">2019-05-02T22:54:45Z</dcterms:modified>
</cp:coreProperties>
</file>