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STEM\git\Submarine\"/>
    </mc:Choice>
  </mc:AlternateContent>
  <xr:revisionPtr revIDLastSave="0" documentId="13_ncr:1_{B068B081-ACDE-40C0-BB78-FEF660336B3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odmornica" sheetId="1" r:id="rId1"/>
  </sheets>
  <definedNames>
    <definedName name="_xlnm.Print_Area" localSheetId="0">Podmornica!$B$3:$P$197</definedName>
    <definedName name="solver_adj" localSheetId="0" hidden="1">Podmornica!$D$84:$D$88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Podmornica!$D$84</definedName>
    <definedName name="solver_lhs2" localSheetId="0" hidden="1">Podmornica!$D$86</definedName>
    <definedName name="solver_lhs3" localSheetId="0" hidden="1">Podmornica!$D$87</definedName>
    <definedName name="solver_lhs4" localSheetId="0" hidden="1">Podmornica!$J$92</definedName>
    <definedName name="solver_lhs5" localSheetId="0" hidden="1">Podmornica!$D$88</definedName>
    <definedName name="solver_lhs6" localSheetId="0" hidden="1">Podmornica!$D$85</definedName>
    <definedName name="solver_lhs7" localSheetId="0" hidden="1">Podmornica!$I$92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Podmornica!$H$98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hs1" localSheetId="0" hidden="1">100</definedName>
    <definedName name="solver_rhs2" localSheetId="0" hidden="1">100</definedName>
    <definedName name="solver_rhs3" localSheetId="0" hidden="1">100</definedName>
    <definedName name="solver_rhs4" localSheetId="0" hidden="1">Podmornica!$J$94</definedName>
    <definedName name="solver_rhs5" localSheetId="0" hidden="1">100</definedName>
    <definedName name="solver_rhs6" localSheetId="0" hidden="1">100</definedName>
    <definedName name="solver_rhs7" localSheetId="0" hidden="1">Podmornica!$I$93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4" i="1" l="1"/>
  <c r="E119" i="1" l="1"/>
  <c r="E50" i="1"/>
  <c r="E158" i="1"/>
  <c r="C134" i="1"/>
  <c r="C135" i="1"/>
  <c r="C133" i="1"/>
  <c r="D24" i="1" l="1"/>
  <c r="J79" i="1" s="1"/>
  <c r="N79" i="1" s="1"/>
  <c r="J85" i="1"/>
  <c r="J86" i="1"/>
  <c r="J87" i="1"/>
  <c r="J88" i="1"/>
  <c r="J84" i="1"/>
  <c r="I80" i="1"/>
  <c r="I81" i="1"/>
  <c r="E159" i="1"/>
  <c r="L81" i="1" s="1"/>
  <c r="E161" i="1"/>
  <c r="I88" i="1" s="1"/>
  <c r="E194" i="1"/>
  <c r="E197" i="1" s="1"/>
  <c r="I84" i="1" s="1"/>
  <c r="E185" i="1"/>
  <c r="E176" i="1"/>
  <c r="E167" i="1"/>
  <c r="E170" i="1" s="1"/>
  <c r="I87" i="1" s="1"/>
  <c r="D41" i="1"/>
  <c r="D35" i="1"/>
  <c r="D34" i="1"/>
  <c r="D30" i="1"/>
  <c r="D29" i="1"/>
  <c r="D25" i="1"/>
  <c r="I75" i="1"/>
  <c r="O81" i="1" l="1"/>
  <c r="L88" i="1"/>
  <c r="O88" i="1" s="1"/>
  <c r="L80" i="1"/>
  <c r="O80" i="1" s="1"/>
  <c r="L82" i="1"/>
  <c r="M98" i="1"/>
  <c r="J74" i="1"/>
  <c r="J76" i="1"/>
  <c r="N76" i="1" s="1"/>
  <c r="J75" i="1"/>
  <c r="N75" i="1" s="1"/>
  <c r="J78" i="1"/>
  <c r="J77" i="1"/>
  <c r="J82" i="1"/>
  <c r="J80" i="1"/>
  <c r="N80" i="1" s="1"/>
  <c r="J81" i="1"/>
  <c r="N81" i="1" s="1"/>
  <c r="J94" i="1"/>
  <c r="M99" i="1" s="1"/>
  <c r="N84" i="1"/>
  <c r="N88" i="1"/>
  <c r="E196" i="1"/>
  <c r="H134" i="1"/>
  <c r="I134" i="1" s="1"/>
  <c r="H133" i="1"/>
  <c r="G135" i="1"/>
  <c r="E148" i="1"/>
  <c r="H135" i="1" l="1"/>
  <c r="I133" i="1"/>
  <c r="I135" i="1" s="1"/>
  <c r="H50" i="1" l="1"/>
  <c r="E51" i="1" s="1"/>
  <c r="G109" i="1" l="1"/>
  <c r="G107" i="1" l="1"/>
  <c r="G113" i="1" l="1"/>
  <c r="D16" i="1" l="1"/>
  <c r="D17" i="1" s="1"/>
  <c r="D40" i="1" s="1"/>
  <c r="F39" i="1" l="1"/>
  <c r="D39" i="1"/>
  <c r="E160" i="1" l="1"/>
  <c r="E168" i="1"/>
  <c r="E169" i="1"/>
  <c r="L79" i="1" l="1"/>
  <c r="O79" i="1" s="1"/>
  <c r="L87" i="1"/>
  <c r="G108" i="1"/>
  <c r="G110" i="1" s="1"/>
  <c r="D36" i="1"/>
  <c r="D31" i="1"/>
  <c r="F46" i="1" s="1"/>
  <c r="I74" i="1" s="1"/>
  <c r="N74" i="1" s="1"/>
  <c r="G106" i="1"/>
  <c r="G112" i="1" s="1"/>
  <c r="L95" i="1"/>
  <c r="D26" i="1" l="1"/>
  <c r="E58" i="1" s="1"/>
  <c r="D37" i="1"/>
  <c r="I93" i="1" s="1"/>
  <c r="L74" i="1"/>
  <c r="O74" i="1" s="1"/>
  <c r="E54" i="1"/>
  <c r="E53" i="1" s="1"/>
  <c r="E52" i="1"/>
  <c r="E56" i="1" l="1"/>
  <c r="E59" i="1" s="1"/>
  <c r="E60" i="1" s="1"/>
  <c r="E61" i="1" s="1"/>
  <c r="E62" i="1" s="1"/>
  <c r="F68" i="1" l="1"/>
  <c r="E69" i="1"/>
  <c r="I82" i="1" s="1"/>
  <c r="N87" i="1"/>
  <c r="O87" i="1"/>
  <c r="H139" i="1"/>
  <c r="E122" i="1"/>
  <c r="E188" i="1" s="1"/>
  <c r="I85" i="1" s="1"/>
  <c r="E64" i="1"/>
  <c r="N85" i="1" l="1"/>
  <c r="I77" i="1"/>
  <c r="E187" i="1"/>
  <c r="F140" i="1"/>
  <c r="F141" i="1"/>
  <c r="G141" i="1" s="1"/>
  <c r="N77" i="1" l="1"/>
  <c r="G140" i="1"/>
  <c r="G142" i="1" s="1"/>
  <c r="F142" i="1"/>
  <c r="I78" i="1" s="1"/>
  <c r="N78" i="1" l="1"/>
  <c r="D143" i="1"/>
  <c r="E121" i="1" s="1"/>
  <c r="E179" i="1" l="1"/>
  <c r="I86" i="1" s="1"/>
  <c r="E177" i="1"/>
  <c r="E178" i="1"/>
  <c r="E195" i="1"/>
  <c r="E124" i="1"/>
  <c r="F21" i="1" s="1"/>
  <c r="E186" i="1"/>
  <c r="L76" i="1" l="1"/>
  <c r="O76" i="1" s="1"/>
  <c r="L85" i="1"/>
  <c r="O85" i="1" s="1"/>
  <c r="L75" i="1"/>
  <c r="O75" i="1" s="1"/>
  <c r="L84" i="1"/>
  <c r="O84" i="1" s="1"/>
  <c r="L78" i="1"/>
  <c r="O78" i="1" s="1"/>
  <c r="L77" i="1"/>
  <c r="O77" i="1" s="1"/>
  <c r="L86" i="1"/>
  <c r="O86" i="1" s="1"/>
  <c r="G161" i="1"/>
  <c r="N86" i="1"/>
  <c r="N92" i="1" s="1"/>
  <c r="I92" i="1"/>
  <c r="O92" i="1" l="1"/>
  <c r="L92" i="1" s="1"/>
  <c r="N98" i="1" s="1"/>
  <c r="N101" i="1" s="1"/>
  <c r="J92" i="1"/>
  <c r="G111" i="1" s="1"/>
  <c r="N99" i="1" l="1"/>
  <c r="N100" i="1" s="1"/>
  <c r="N103" i="1" s="1"/>
  <c r="H98" i="1"/>
</calcChain>
</file>

<file path=xl/sharedStrings.xml><?xml version="1.0" encoding="utf-8"?>
<sst xmlns="http://schemas.openxmlformats.org/spreadsheetml/2006/main" count="302" uniqueCount="215">
  <si>
    <t>m</t>
  </si>
  <si>
    <t>Hidrostatski tlak =ro*g*h</t>
  </si>
  <si>
    <t>kg/m3</t>
  </si>
  <si>
    <t>g</t>
  </si>
  <si>
    <t>m/s2</t>
  </si>
  <si>
    <t>Dubina mora, h</t>
  </si>
  <si>
    <t>1 bar</t>
  </si>
  <si>
    <t>Pa</t>
  </si>
  <si>
    <t>bar</t>
  </si>
  <si>
    <t>Dimenzije podmorice:</t>
  </si>
  <si>
    <t>Radijus, R</t>
  </si>
  <si>
    <t>Oplošje podmornice:</t>
  </si>
  <si>
    <t>m2</t>
  </si>
  <si>
    <t>Volumen podmornice:</t>
  </si>
  <si>
    <t>m3</t>
  </si>
  <si>
    <t>Kugle, 4*R^2*pi()</t>
  </si>
  <si>
    <t>Debljina stijenke podmornice, t:</t>
  </si>
  <si>
    <t>Peq, tlak</t>
  </si>
  <si>
    <t>sigma=</t>
  </si>
  <si>
    <t>N/mm2</t>
  </si>
  <si>
    <t>J, faktor zavarivanja</t>
  </si>
  <si>
    <t>mm</t>
  </si>
  <si>
    <t>Potrebna snaga:</t>
  </si>
  <si>
    <t>CF= 0,075/(log10*Rn-2)^2, , koef. Trenja,</t>
  </si>
  <si>
    <t>S, Ukupno</t>
  </si>
  <si>
    <t>Pe=Re*V</t>
  </si>
  <si>
    <t>V, brzina broda</t>
  </si>
  <si>
    <t>čv</t>
  </si>
  <si>
    <t>m/2</t>
  </si>
  <si>
    <t>m2/s</t>
  </si>
  <si>
    <t>Rn=V*L/ni, Reynoldsov broj</t>
  </si>
  <si>
    <t>kW</t>
  </si>
  <si>
    <t>kN</t>
  </si>
  <si>
    <t>t</t>
  </si>
  <si>
    <t>t=Peq*Di/(20*sigma*J+Peq)</t>
  </si>
  <si>
    <t>težište, zg</t>
  </si>
  <si>
    <t>xg</t>
  </si>
  <si>
    <t>Istisnina, VOL*ro</t>
  </si>
  <si>
    <t>Ukupno, VOL</t>
  </si>
  <si>
    <t>Gaz, T</t>
  </si>
  <si>
    <t>Duljina, LC</t>
  </si>
  <si>
    <t>MG=BM+KB-KG</t>
  </si>
  <si>
    <t>BM, L*B^3/12</t>
  </si>
  <si>
    <t>B, Širinu, 2*sqrt(max(0, R^2-(T-R)^2))</t>
  </si>
  <si>
    <t>Volumen, Cil, (R^2*(PI()-ACOS(MIN(0, ((T-R)/R)))+(T-R)*B/2)*LC</t>
  </si>
  <si>
    <t>Volumen, Kugle, pi()/3*(4*R^3-MAX(0, 2*R-T)^2*(R+T))</t>
  </si>
  <si>
    <t>alfa2</t>
  </si>
  <si>
    <t>balast 1</t>
  </si>
  <si>
    <t>balast 2</t>
  </si>
  <si>
    <t>%LC</t>
  </si>
  <si>
    <t>beta2</t>
  </si>
  <si>
    <t>R2</t>
  </si>
  <si>
    <t>Duljine tankova</t>
  </si>
  <si>
    <t>LWL, Duljina WL, MAX(0;SIGN(2*R-T))*LC+2*SQRT(MAX(0,R^2-(T-R)^2))</t>
  </si>
  <si>
    <t>st</t>
  </si>
  <si>
    <t>-</t>
  </si>
  <si>
    <t>Ukupna masa</t>
  </si>
  <si>
    <t>Istisnina</t>
  </si>
  <si>
    <t>Volumen, podmornice u plovidbi</t>
  </si>
  <si>
    <t>L, duljina, LC+2*R</t>
  </si>
  <si>
    <t>Di=R*2*1000</t>
  </si>
  <si>
    <t>(Peq*Di/(20*sigma+Peq))</t>
  </si>
  <si>
    <t>Oplakana poršina (S)*debljina (t) *roc*1,5 (masa strukture)</t>
  </si>
  <si>
    <t>pi()*(360-alfa1-beta1)/360*(R^2-R1^2)*l1</t>
  </si>
  <si>
    <t>R^2*pi()*l1</t>
  </si>
  <si>
    <t>R+l1/2</t>
  </si>
  <si>
    <t>XG2,</t>
  </si>
  <si>
    <t>R+l1+l2/2</t>
  </si>
  <si>
    <t>R^2*pi()*l2</t>
  </si>
  <si>
    <t>pi()*(360-alfa2-beta2)/360*(R^2-R2^2)*l2</t>
  </si>
  <si>
    <t>Masa čelika (trupa):</t>
  </si>
  <si>
    <t>R/2</t>
  </si>
  <si>
    <t>R1*PB1/100+(R-R1)</t>
  </si>
  <si>
    <t>R2*PB2/100+(R-R2)</t>
  </si>
  <si>
    <t>ukupno, MU</t>
  </si>
  <si>
    <t>MOM, mx</t>
  </si>
  <si>
    <t>MOM, mz</t>
  </si>
  <si>
    <t>CT=CF*(1+k), koef. ukupnog otpora</t>
  </si>
  <si>
    <t>CB=VOL/(L*2R*2R), blok koef.</t>
  </si>
  <si>
    <t>k=-0.095+25.6 *CB/((L/2R)^2</t>
  </si>
  <si>
    <t>Fn=V/(g*L)^0.5</t>
  </si>
  <si>
    <t>Re=CT*0,5*ro*v^2*S/1000</t>
  </si>
  <si>
    <t>Kinematički viskozitet vode, ni=</t>
  </si>
  <si>
    <t>Pb1=Pe/(0,5*0,98)</t>
  </si>
  <si>
    <t>Service continues rating, 85% MCR</t>
  </si>
  <si>
    <t>k=-0.095+25.6 *CB/((L/2R)^2*(2R/2R)^0.5), koef. Utjecaja trupa</t>
  </si>
  <si>
    <t>Koef, čv. u m/s</t>
  </si>
  <si>
    <t>Definicije tankova</t>
  </si>
  <si>
    <t>VCB, Težište istisnine po visini</t>
  </si>
  <si>
    <t>LCB, Težište istisnine po duljini, L/2=</t>
  </si>
  <si>
    <t>Težište masa po visini, VCG</t>
  </si>
  <si>
    <t>Težište masa po duljini, LCG</t>
  </si>
  <si>
    <t>alfa_t, Kut trim ( mora biti blizu 0) = atan((L/2-LCG)/(VCB-VCG))</t>
  </si>
  <si>
    <t>KB= T/2</t>
  </si>
  <si>
    <t>Stabilitet podmornice u plovidbi</t>
  </si>
  <si>
    <t>alfa1, kut gornjeg otvora</t>
  </si>
  <si>
    <t>beta1, donji kut</t>
  </si>
  <si>
    <t>R1, unutrašnji radijus balastnih tankova</t>
  </si>
  <si>
    <t>XG1, težište tanka po duljini</t>
  </si>
  <si>
    <t>Pb= Pb1/0.85, ukupna potrebna snaga na vijku</t>
  </si>
  <si>
    <t>Ulazni parametri za pogon</t>
  </si>
  <si>
    <t>t/kW</t>
  </si>
  <si>
    <t>m3/kW</t>
  </si>
  <si>
    <t>SM, Specifična masa po kW pogona</t>
  </si>
  <si>
    <t>MM=Pb*SM, masa pogona</t>
  </si>
  <si>
    <t>Kugla, 4/3*R^3*pi()</t>
  </si>
  <si>
    <t>MIN</t>
  </si>
  <si>
    <t>VT2, Volumen tanka,</t>
  </si>
  <si>
    <t>VB2, Volumen balasta,</t>
  </si>
  <si>
    <t>R+l1+l2+l3/2</t>
  </si>
  <si>
    <t>R+l1+l2+l3+l4+l5/2</t>
  </si>
  <si>
    <t>R^2*pi()*l3</t>
  </si>
  <si>
    <t>R^2*pi()*l5</t>
  </si>
  <si>
    <t>Pogonsko postrojenje</t>
  </si>
  <si>
    <t>Izmjenjivači, turbina, ložište, kondenzator, generator + elektromotor</t>
  </si>
  <si>
    <t>POTROŠNJA GORIVA</t>
  </si>
  <si>
    <t>Etanola</t>
  </si>
  <si>
    <t>kg/h/kW</t>
  </si>
  <si>
    <t>Kisika</t>
  </si>
  <si>
    <t>Postrojenje snage 150 kW ima masu 15 t</t>
  </si>
  <si>
    <t>gustoća, kg/m3</t>
  </si>
  <si>
    <t>Projektni parametri</t>
  </si>
  <si>
    <t>sata</t>
  </si>
  <si>
    <t>Vrijeme plovidbe</t>
  </si>
  <si>
    <t>Radijus plovidbe</t>
  </si>
  <si>
    <t>nm</t>
  </si>
  <si>
    <t>Masa goriva za snagu, t</t>
  </si>
  <si>
    <t>TANK3 - GORIVO</t>
  </si>
  <si>
    <t>R3</t>
  </si>
  <si>
    <t>alfa3</t>
  </si>
  <si>
    <t>beta3</t>
  </si>
  <si>
    <t>XG3,</t>
  </si>
  <si>
    <t>TANK4 - POGONSKO POSTROJENJE</t>
  </si>
  <si>
    <t>alfa4</t>
  </si>
  <si>
    <t>beta4</t>
  </si>
  <si>
    <t>R4</t>
  </si>
  <si>
    <t>XG4,</t>
  </si>
  <si>
    <t>R+l1+l4+l3+l4/4</t>
  </si>
  <si>
    <t>VT4, Volumen tanka,</t>
  </si>
  <si>
    <t>R^4*pi()*l4</t>
  </si>
  <si>
    <t>VB4, Volumen balasta,</t>
  </si>
  <si>
    <t>VT3, Volumen tanka,</t>
  </si>
  <si>
    <t>VB3, Volumen balasta,</t>
  </si>
  <si>
    <t>TANK5 - PROSTOR ELEKTROMOTORA</t>
  </si>
  <si>
    <t>beta5</t>
  </si>
  <si>
    <t>R5</t>
  </si>
  <si>
    <t>XG5,</t>
  </si>
  <si>
    <t>VT5, Volumen tanka,</t>
  </si>
  <si>
    <t>VB5, Volumen balasta,</t>
  </si>
  <si>
    <t>pi()*(360-alfa3-beta3)/360*(R^2-R3^2)*l2</t>
  </si>
  <si>
    <t>pi()*(360-alfa4-beta4)/360*(R^2-R4^2)*l2</t>
  </si>
  <si>
    <t>pi()*(360-alfa5-beta5)/360*(R^2-R5^2)*l2</t>
  </si>
  <si>
    <t>VT1, Volumen tanka,</t>
  </si>
  <si>
    <t>VB1, Volumen balasta,</t>
  </si>
  <si>
    <t>Volumen, V3,  m3</t>
  </si>
  <si>
    <t>Ukupno:</t>
  </si>
  <si>
    <t>Minimalna duljina tanka za gorivo, l3=V3/(R^2*pi()), m</t>
  </si>
  <si>
    <t>l4 - POGONSKO POSTROJENJE</t>
  </si>
  <si>
    <t>Duljina, D, mm</t>
  </si>
  <si>
    <t>Širina, A, mm</t>
  </si>
  <si>
    <t>Visina, B, mm</t>
  </si>
  <si>
    <t>Volumen, m^3</t>
  </si>
  <si>
    <t>Min (za 20 kW)</t>
  </si>
  <si>
    <t>Max (za 150 kW)</t>
  </si>
  <si>
    <t>Projvera za R4</t>
  </si>
  <si>
    <t>l1 - POSADA I PUTNICI</t>
  </si>
  <si>
    <t>l2 - KOMORA</t>
  </si>
  <si>
    <t>l3 - GORIVO</t>
  </si>
  <si>
    <t>l5 - ELKTROMOTOR</t>
  </si>
  <si>
    <t>Cilindar, R^2*pi()*LC</t>
  </si>
  <si>
    <t>Cilindar, 2*R*pi()*LC</t>
  </si>
  <si>
    <t>TERET</t>
  </si>
  <si>
    <t>TRUP</t>
  </si>
  <si>
    <t>alfa5</t>
  </si>
  <si>
    <t>Radijus balast, RB</t>
  </si>
  <si>
    <t>TANK2 - KOMORA</t>
  </si>
  <si>
    <t>TANK1 - POSADA I PUTNICI</t>
  </si>
  <si>
    <t>balast 3</t>
  </si>
  <si>
    <t>balast 4</t>
  </si>
  <si>
    <t>balast 5</t>
  </si>
  <si>
    <t>ELEKTROMOTOR (5)</t>
  </si>
  <si>
    <t>POGONSKO POSTROJENJE (4)</t>
  </si>
  <si>
    <t>GORIVO (3)</t>
  </si>
  <si>
    <t>PUTNICI (1)</t>
  </si>
  <si>
    <t>POSADA (1)</t>
  </si>
  <si>
    <t>Razlika radijusa</t>
  </si>
  <si>
    <t>koef. Volumena</t>
  </si>
  <si>
    <t>m^3/kWh</t>
  </si>
  <si>
    <t>koef. Mase</t>
  </si>
  <si>
    <t>kg/kWh</t>
  </si>
  <si>
    <t>Podaci za baterije</t>
  </si>
  <si>
    <t>Potreban kapacitet baterija</t>
  </si>
  <si>
    <t>Masa baterija, t</t>
  </si>
  <si>
    <t>Volumen baterija, m^3</t>
  </si>
  <si>
    <t>AKU BATERIJE</t>
  </si>
  <si>
    <t>%, popunjenost</t>
  </si>
  <si>
    <t>KOMORA (2)</t>
  </si>
  <si>
    <t>L1</t>
  </si>
  <si>
    <t>L2</t>
  </si>
  <si>
    <t>V1, V2</t>
  </si>
  <si>
    <t>dV</t>
  </si>
  <si>
    <t>dL</t>
  </si>
  <si>
    <t>SV, Specifični volumen po kW pogona - ne koristi se trenutno</t>
  </si>
  <si>
    <t>Gustoća mora, ro</t>
  </si>
  <si>
    <t>Gustoća čelika, roc</t>
  </si>
  <si>
    <t>Konstante</t>
  </si>
  <si>
    <t>Duljina cilindra iz proračuna - prepisuje se lijevo do se ne izjednjači</t>
  </si>
  <si>
    <t>CENTRACIJA</t>
  </si>
  <si>
    <t>ULAZNI PARAMETRI</t>
  </si>
  <si>
    <t>Brzina</t>
  </si>
  <si>
    <t>Broj putnika, 1=2P; 2=4P, 3=6P</t>
  </si>
  <si>
    <t>Radni tlak</t>
  </si>
  <si>
    <t>%(2*R)</t>
  </si>
  <si>
    <t>Provjera kuta</t>
  </si>
  <si>
    <t>kut trima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</si>
</sst>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"/>
    <numFmt numFmtId="167" formatCode="0.0"/>
    <numFmt numFmtId="168" formatCode="0.00000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rgb="FF00B050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/>
    <xf numFmtId="0" fontId="3" fillId="0" borderId="0" xfId="0" applyFont="1"/>
    <xf numFmtId="11" fontId="1" fillId="0" borderId="0" xfId="0" applyNumberFormat="1" applyFont="1"/>
    <xf numFmtId="0" fontId="1" fillId="0" borderId="0" xfId="0" quotePrefix="1" applyFont="1"/>
    <xf numFmtId="166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167" fontId="1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8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168" fontId="1" fillId="0" borderId="0" xfId="0" applyNumberFormat="1" applyFont="1"/>
    <xf numFmtId="1" fontId="1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0" borderId="1" xfId="0" applyFont="1" applyBorder="1"/>
    <xf numFmtId="0" fontId="4" fillId="0" borderId="2" xfId="0" applyFont="1" applyBorder="1"/>
    <xf numFmtId="0" fontId="1" fillId="0" borderId="2" xfId="0" applyFont="1" applyBorder="1"/>
    <xf numFmtId="0" fontId="4" fillId="0" borderId="2" xfId="0" applyFont="1" applyBorder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2" fontId="1" fillId="0" borderId="0" xfId="0" applyNumberFormat="1" applyFont="1" applyBorder="1"/>
    <xf numFmtId="164" fontId="1" fillId="0" borderId="0" xfId="0" applyNumberFormat="1" applyFont="1" applyBorder="1"/>
    <xf numFmtId="0" fontId="1" fillId="0" borderId="5" xfId="0" applyFont="1" applyBorder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2" fontId="4" fillId="0" borderId="0" xfId="0" applyNumberFormat="1" applyFont="1" applyBorder="1"/>
    <xf numFmtId="164" fontId="4" fillId="0" borderId="0" xfId="0" applyNumberFormat="1" applyFont="1" applyBorder="1"/>
    <xf numFmtId="2" fontId="4" fillId="0" borderId="0" xfId="0" applyNumberFormat="1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4" fillId="0" borderId="7" xfId="0" applyFont="1" applyBorder="1"/>
    <xf numFmtId="0" fontId="1" fillId="0" borderId="8" xfId="0" applyFont="1" applyBorder="1"/>
    <xf numFmtId="167" fontId="12" fillId="0" borderId="0" xfId="0" applyNumberFormat="1" applyFont="1"/>
    <xf numFmtId="0" fontId="12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2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10564304461942"/>
                  <c:y val="0.27847404491105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Podmornica!$H$131:$I$131</c:f>
              <c:numCache>
                <c:formatCode>General</c:formatCode>
                <c:ptCount val="2"/>
                <c:pt idx="0">
                  <c:v>20</c:v>
                </c:pt>
                <c:pt idx="1">
                  <c:v>150</c:v>
                </c:pt>
              </c:numCache>
            </c:numRef>
          </c:xVal>
          <c:yVal>
            <c:numRef>
              <c:f>Podmornica!$H$132:$I$132</c:f>
              <c:numCache>
                <c:formatCode>General</c:formatCode>
                <c:ptCount val="2"/>
                <c:pt idx="0">
                  <c:v>4000</c:v>
                </c:pt>
                <c:pt idx="1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A4-4C0D-844A-8A2A2A68F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046736"/>
        <c:axId val="1458040208"/>
      </c:scatterChart>
      <c:valAx>
        <c:axId val="14580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40208"/>
        <c:crosses val="autoZero"/>
        <c:crossBetween val="midCat"/>
      </c:valAx>
      <c:valAx>
        <c:axId val="14580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Podmornica!$I$116</c:f>
              <c:strCache>
                <c:ptCount val="1"/>
                <c:pt idx="0">
                  <c:v>balast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Podmornica!$J$115:$O$115</c:f>
              <c:numCache>
                <c:formatCode>0</c:formatCode>
                <c:ptCount val="5"/>
                <c:pt idx="1">
                  <c:v>5</c:v>
                </c:pt>
                <c:pt idx="2" formatCode="General">
                  <c:v>10</c:v>
                </c:pt>
                <c:pt idx="3" formatCode="General">
                  <c:v>30</c:v>
                </c:pt>
                <c:pt idx="4" formatCode="General">
                  <c:v>50</c:v>
                </c:pt>
              </c:numCache>
            </c:numRef>
          </c:xVal>
          <c:yVal>
            <c:numRef>
              <c:f>Podmornica!$J$116:$O$116</c:f>
              <c:numCache>
                <c:formatCode>0.0</c:formatCode>
                <c:ptCount val="5"/>
                <c:pt idx="0">
                  <c:v>94.458960845197964</c:v>
                </c:pt>
                <c:pt idx="1">
                  <c:v>93.579673607296726</c:v>
                </c:pt>
                <c:pt idx="2">
                  <c:v>85.393174062380226</c:v>
                </c:pt>
                <c:pt idx="3">
                  <c:v>53.744405434055828</c:v>
                </c:pt>
                <c:pt idx="4">
                  <c:v>28.682944670571846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8-4880-91E1-F6486895EFC3}"/>
            </c:ext>
          </c:extLst>
        </c:ser>
        <c:ser>
          <c:idx val="1"/>
          <c:order val="1"/>
          <c:tx>
            <c:strRef>
              <c:f>Podmornica!$I$117</c:f>
              <c:strCache>
                <c:ptCount val="1"/>
                <c:pt idx="0">
                  <c:v>balast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Podmornica!$J$115:$O$115</c:f>
              <c:numCache>
                <c:formatCode>0</c:formatCode>
                <c:ptCount val="5"/>
                <c:pt idx="1">
                  <c:v>5</c:v>
                </c:pt>
                <c:pt idx="2" formatCode="General">
                  <c:v>10</c:v>
                </c:pt>
                <c:pt idx="3" formatCode="General">
                  <c:v>30</c:v>
                </c:pt>
                <c:pt idx="4" formatCode="General">
                  <c:v>50</c:v>
                </c:pt>
              </c:numCache>
            </c:numRef>
          </c:xVal>
          <c:yVal>
            <c:numRef>
              <c:f>Podmornica!$J$117:$O$117</c:f>
              <c:numCache>
                <c:formatCode>0.0</c:formatCode>
                <c:ptCount val="5"/>
                <c:pt idx="0">
                  <c:v>79.619001484299844</c:v>
                </c:pt>
                <c:pt idx="1">
                  <c:v>79.264684166386289</c:v>
                </c:pt>
                <c:pt idx="2">
                  <c:v>81.223778330445938</c:v>
                </c:pt>
                <c:pt idx="3">
                  <c:v>88.797265123358287</c:v>
                </c:pt>
                <c:pt idx="4">
                  <c:v>94.794422369265192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38-4880-91E1-F6486895EFC3}"/>
            </c:ext>
          </c:extLst>
        </c:ser>
        <c:ser>
          <c:idx val="2"/>
          <c:order val="2"/>
          <c:tx>
            <c:strRef>
              <c:f>Podmornica!$I$118</c:f>
              <c:strCache>
                <c:ptCount val="1"/>
                <c:pt idx="0">
                  <c:v>balast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Podmornica!$J$115:$O$115</c:f>
              <c:numCache>
                <c:formatCode>0</c:formatCode>
                <c:ptCount val="5"/>
                <c:pt idx="1">
                  <c:v>5</c:v>
                </c:pt>
                <c:pt idx="2" formatCode="General">
                  <c:v>10</c:v>
                </c:pt>
                <c:pt idx="3" formatCode="General">
                  <c:v>30</c:v>
                </c:pt>
                <c:pt idx="4" formatCode="General">
                  <c:v>50</c:v>
                </c:pt>
              </c:numCache>
            </c:numRef>
          </c:xVal>
          <c:yVal>
            <c:numRef>
              <c:f>Podmornica!$J$118:$O$118</c:f>
              <c:numCache>
                <c:formatCode>0.0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38-4880-91E1-F6486895EFC3}"/>
            </c:ext>
          </c:extLst>
        </c:ser>
        <c:ser>
          <c:idx val="3"/>
          <c:order val="3"/>
          <c:tx>
            <c:strRef>
              <c:f>Podmornica!$I$119</c:f>
              <c:strCache>
                <c:ptCount val="1"/>
                <c:pt idx="0">
                  <c:v>balast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Podmornica!$J$115:$O$115</c:f>
              <c:numCache>
                <c:formatCode>0</c:formatCode>
                <c:ptCount val="5"/>
                <c:pt idx="1">
                  <c:v>5</c:v>
                </c:pt>
                <c:pt idx="2" formatCode="General">
                  <c:v>10</c:v>
                </c:pt>
                <c:pt idx="3" formatCode="General">
                  <c:v>30</c:v>
                </c:pt>
                <c:pt idx="4" formatCode="General">
                  <c:v>50</c:v>
                </c:pt>
              </c:numCache>
            </c:numRef>
          </c:xVal>
          <c:yVal>
            <c:numRef>
              <c:f>Podmornica!$J$119:$O$119</c:f>
              <c:numCache>
                <c:formatCode>0.0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38-4880-91E1-F6486895EFC3}"/>
            </c:ext>
          </c:extLst>
        </c:ser>
        <c:ser>
          <c:idx val="4"/>
          <c:order val="4"/>
          <c:tx>
            <c:strRef>
              <c:f>Podmornica!$I$120</c:f>
              <c:strCache>
                <c:ptCount val="1"/>
                <c:pt idx="0">
                  <c:v>balast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Podmornica!$J$115:$O$115</c:f>
              <c:numCache>
                <c:formatCode>0</c:formatCode>
                <c:ptCount val="5"/>
                <c:pt idx="1">
                  <c:v>5</c:v>
                </c:pt>
                <c:pt idx="2" formatCode="General">
                  <c:v>10</c:v>
                </c:pt>
                <c:pt idx="3" formatCode="General">
                  <c:v>30</c:v>
                </c:pt>
                <c:pt idx="4" formatCode="General">
                  <c:v>50</c:v>
                </c:pt>
              </c:numCache>
            </c:numRef>
          </c:xVal>
          <c:yVal>
            <c:numRef>
              <c:f>Podmornica!$J$120:$O$120</c:f>
              <c:numCache>
                <c:formatCode>0.0</c:formatCode>
                <c:ptCount val="5"/>
                <c:pt idx="0">
                  <c:v>99.309918018647707</c:v>
                </c:pt>
                <c:pt idx="1">
                  <c:v>100.00009930991801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38-4880-91E1-F6486895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048912"/>
        <c:axId val="1458051088"/>
      </c:scatterChart>
      <c:valAx>
        <c:axId val="14580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51088"/>
        <c:crosses val="autoZero"/>
        <c:crossBetween val="midCat"/>
      </c:valAx>
      <c:valAx>
        <c:axId val="14580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4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Podmornica!$I$123</c:f>
              <c:strCache>
                <c:ptCount val="1"/>
                <c:pt idx="0">
                  <c:v>balast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Podmornica!$J$122:$O$122</c:f>
              <c:numCache>
                <c:formatCode>0</c:formatCode>
                <c:ptCount val="5"/>
                <c:pt idx="0" formatCode="General">
                  <c:v>-1</c:v>
                </c:pt>
                <c:pt idx="1">
                  <c:v>-5</c:v>
                </c:pt>
                <c:pt idx="2" formatCode="General">
                  <c:v>-10</c:v>
                </c:pt>
                <c:pt idx="3" formatCode="General">
                  <c:v>-30</c:v>
                </c:pt>
                <c:pt idx="4" formatCode="General">
                  <c:v>-50</c:v>
                </c:pt>
              </c:numCache>
            </c:numRef>
          </c:xVal>
          <c:yVal>
            <c:numRef>
              <c:f>Podmornica!$J$123:$O$123</c:f>
              <c:numCache>
                <c:formatCode>0.0</c:formatCode>
                <c:ptCount val="5"/>
                <c:pt idx="0">
                  <c:v>36.085473002271172</c:v>
                </c:pt>
                <c:pt idx="1">
                  <c:v>37.581753485663079</c:v>
                </c:pt>
                <c:pt idx="2">
                  <c:v>39.56494460269468</c:v>
                </c:pt>
                <c:pt idx="3">
                  <c:v>49.642594105236398</c:v>
                </c:pt>
                <c:pt idx="4">
                  <c:v>67.34340040956603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4-4C26-923D-42A671CC377D}"/>
            </c:ext>
          </c:extLst>
        </c:ser>
        <c:ser>
          <c:idx val="1"/>
          <c:order val="1"/>
          <c:tx>
            <c:strRef>
              <c:f>Podmornica!$I$124</c:f>
              <c:strCache>
                <c:ptCount val="1"/>
                <c:pt idx="0">
                  <c:v>balast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Podmornica!$J$122:$O$122</c:f>
              <c:numCache>
                <c:formatCode>0</c:formatCode>
                <c:ptCount val="5"/>
                <c:pt idx="0" formatCode="General">
                  <c:v>-1</c:v>
                </c:pt>
                <c:pt idx="1">
                  <c:v>-5</c:v>
                </c:pt>
                <c:pt idx="2" formatCode="General">
                  <c:v>-10</c:v>
                </c:pt>
                <c:pt idx="3" formatCode="General">
                  <c:v>-30</c:v>
                </c:pt>
                <c:pt idx="4" formatCode="General">
                  <c:v>-50</c:v>
                </c:pt>
              </c:numCache>
            </c:numRef>
          </c:xVal>
          <c:yVal>
            <c:numRef>
              <c:f>Podmornica!$J$124:$O$124</c:f>
              <c:numCache>
                <c:formatCode>0.0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4-4C26-923D-42A671CC377D}"/>
            </c:ext>
          </c:extLst>
        </c:ser>
        <c:ser>
          <c:idx val="2"/>
          <c:order val="2"/>
          <c:tx>
            <c:strRef>
              <c:f>Podmornica!$I$125</c:f>
              <c:strCache>
                <c:ptCount val="1"/>
                <c:pt idx="0">
                  <c:v>balast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Podmornica!$J$122:$O$122</c:f>
              <c:numCache>
                <c:formatCode>0</c:formatCode>
                <c:ptCount val="5"/>
                <c:pt idx="0" formatCode="General">
                  <c:v>-1</c:v>
                </c:pt>
                <c:pt idx="1">
                  <c:v>-5</c:v>
                </c:pt>
                <c:pt idx="2" formatCode="General">
                  <c:v>-10</c:v>
                </c:pt>
                <c:pt idx="3" formatCode="General">
                  <c:v>-30</c:v>
                </c:pt>
                <c:pt idx="4" formatCode="General">
                  <c:v>-50</c:v>
                </c:pt>
              </c:numCache>
            </c:numRef>
          </c:xVal>
          <c:yVal>
            <c:numRef>
              <c:f>Podmornica!$J$125:$O$125</c:f>
              <c:numCache>
                <c:formatCode>0.0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74-4C26-923D-42A671CC377D}"/>
            </c:ext>
          </c:extLst>
        </c:ser>
        <c:ser>
          <c:idx val="3"/>
          <c:order val="3"/>
          <c:tx>
            <c:strRef>
              <c:f>Podmornica!$I$126</c:f>
              <c:strCache>
                <c:ptCount val="1"/>
                <c:pt idx="0">
                  <c:v>balast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Podmornica!$J$122:$O$122</c:f>
              <c:numCache>
                <c:formatCode>0</c:formatCode>
                <c:ptCount val="5"/>
                <c:pt idx="0" formatCode="General">
                  <c:v>-1</c:v>
                </c:pt>
                <c:pt idx="1">
                  <c:v>-5</c:v>
                </c:pt>
                <c:pt idx="2" formatCode="General">
                  <c:v>-10</c:v>
                </c:pt>
                <c:pt idx="3" formatCode="General">
                  <c:v>-30</c:v>
                </c:pt>
                <c:pt idx="4" formatCode="General">
                  <c:v>-50</c:v>
                </c:pt>
              </c:numCache>
            </c:numRef>
          </c:xVal>
          <c:yVal>
            <c:numRef>
              <c:f>Podmornica!$J$126:$O$126</c:f>
              <c:numCache>
                <c:formatCode>0.0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74-4C26-923D-42A671CC377D}"/>
            </c:ext>
          </c:extLst>
        </c:ser>
        <c:ser>
          <c:idx val="4"/>
          <c:order val="4"/>
          <c:tx>
            <c:strRef>
              <c:f>Podmornica!$I$127</c:f>
              <c:strCache>
                <c:ptCount val="1"/>
                <c:pt idx="0">
                  <c:v>balast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Podmornica!$J$122:$O$122</c:f>
              <c:numCache>
                <c:formatCode>0</c:formatCode>
                <c:ptCount val="5"/>
                <c:pt idx="0" formatCode="General">
                  <c:v>-1</c:v>
                </c:pt>
                <c:pt idx="1">
                  <c:v>-5</c:v>
                </c:pt>
                <c:pt idx="2" formatCode="General">
                  <c:v>-10</c:v>
                </c:pt>
                <c:pt idx="3" formatCode="General">
                  <c:v>-30</c:v>
                </c:pt>
                <c:pt idx="4" formatCode="General">
                  <c:v>-50</c:v>
                </c:pt>
              </c:numCache>
            </c:numRef>
          </c:xVal>
          <c:yVal>
            <c:numRef>
              <c:f>Podmornica!$J$127:$O$127</c:f>
              <c:numCache>
                <c:formatCode>0.0</c:formatCode>
                <c:ptCount val="5"/>
                <c:pt idx="0">
                  <c:v>91.473102063060566</c:v>
                </c:pt>
                <c:pt idx="1">
                  <c:v>91.035504225212136</c:v>
                </c:pt>
                <c:pt idx="2">
                  <c:v>90.455505919756675</c:v>
                </c:pt>
                <c:pt idx="3">
                  <c:v>87.508225859731681</c:v>
                </c:pt>
                <c:pt idx="4">
                  <c:v>82.331499535408255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74-4C26-923D-42A671CC3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037488"/>
        <c:axId val="1458047280"/>
      </c:scatterChart>
      <c:valAx>
        <c:axId val="14580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47280"/>
        <c:crosses val="autoZero"/>
        <c:crossBetween val="midCat"/>
      </c:valAx>
      <c:valAx>
        <c:axId val="14580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3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Podmornica!$M$98:$N$98</c:f>
              <c:numCache>
                <c:formatCode>0.00000</c:formatCode>
                <c:ptCount val="2"/>
                <c:pt idx="0">
                  <c:v>8.9699999999999989</c:v>
                </c:pt>
                <c:pt idx="1">
                  <c:v>8.9631180565175974</c:v>
                </c:pt>
              </c:numCache>
            </c:numRef>
          </c:xVal>
          <c:yVal>
            <c:numRef>
              <c:f>Podmornica!$M$99:$N$99</c:f>
              <c:numCache>
                <c:formatCode>0.00000</c:formatCode>
                <c:ptCount val="2"/>
                <c:pt idx="0">
                  <c:v>2.2000000000000002</c:v>
                </c:pt>
                <c:pt idx="1">
                  <c:v>1.8057340387846461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1-44C9-A254-3524C1E25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049456"/>
        <c:axId val="1458050000"/>
      </c:scatterChart>
      <c:valAx>
        <c:axId val="145804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50000"/>
        <c:crosses val="autoZero"/>
        <c:crossBetween val="midCat"/>
      </c:valAx>
      <c:valAx>
        <c:axId val="14580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827315</xdr:colOff>
      <xdr:row>89</xdr:row>
      <xdr:rowOff>119743</xdr:rowOff>
    </xdr:from>
    <xdr:to>
      <xdr:col>9</xdr:col>
      <xdr:colOff>1371600</xdr:colOff>
      <xdr:row>91</xdr:row>
      <xdr:rowOff>10886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4554201" y="18864943"/>
          <a:ext cx="544285" cy="3483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914400</xdr:colOff>
      <xdr:row>89</xdr:row>
      <xdr:rowOff>195943</xdr:rowOff>
    </xdr:from>
    <xdr:to>
      <xdr:col>13</xdr:col>
      <xdr:colOff>32657</xdr:colOff>
      <xdr:row>91</xdr:row>
      <xdr:rowOff>10886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16241486" y="18941143"/>
          <a:ext cx="794657" cy="2721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157401</xdr:colOff>
      <xdr:row>129</xdr:row>
      <xdr:rowOff>15504</xdr:rowOff>
    </xdr:from>
    <xdr:to>
      <xdr:col>15</xdr:col>
      <xdr:colOff>500728</xdr:colOff>
      <xdr:row>140</xdr:row>
      <xdr:rowOff>161966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32657</xdr:colOff>
      <xdr:row>109</xdr:row>
      <xdr:rowOff>83126</xdr:rowOff>
    </xdr:from>
    <xdr:to>
      <xdr:col>21</xdr:col>
      <xdr:colOff>484909</xdr:colOff>
      <xdr:row>119</xdr:row>
      <xdr:rowOff>45718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43543</xdr:colOff>
      <xdr:row>119</xdr:row>
      <xdr:rowOff>76200</xdr:rowOff>
    </xdr:from>
    <xdr:to>
      <xdr:col>21</xdr:col>
      <xdr:colOff>526472</xdr:colOff>
      <xdr:row>129</xdr:row>
      <xdr:rowOff>55420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316112</xdr:colOff>
      <xdr:row>96</xdr:row>
      <xdr:rowOff>16009</xdr:rowOff>
    </xdr:from>
    <xdr:to>
      <xdr:col>19</xdr:col>
      <xdr:colOff>697074</xdr:colOff>
      <xdr:row>105</xdr:row>
      <xdr:rowOff>156747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Q206"/>
  <sheetViews>
    <sheetView tabSelected="1" defaultGridColor="0" topLeftCell="A19" colorId="8" zoomScale="70" zoomScaleNormal="70" zoomScaleSheetLayoutView="55" workbookViewId="0">
      <selection activeCell="H98" sqref="H98"/>
    </sheetView>
  </sheetViews>
  <sheetFormatPr defaultColWidth="8.85546875" defaultRowHeight="18.75" x14ac:dyDescent="0.3"/>
  <cols>
    <col min="1" max="1" width="8.85546875" style="48"/>
    <col min="2" max="2" width="35.85546875" style="1" customWidth="1"/>
    <col min="3" max="4" width="22.85546875" style="1" customWidth="1"/>
    <col min="5" max="5" width="21.85546875" style="1" customWidth="1"/>
    <col min="6" max="6" width="30.5703125" style="1" customWidth="1"/>
    <col min="7" max="7" width="27.140625" style="1" customWidth="1"/>
    <col min="8" max="8" width="21.5703125" style="1" customWidth="1"/>
    <col min="9" max="9" width="17.140625" style="1" customWidth="1"/>
    <col min="10" max="10" width="23.42578125" style="1" bestFit="1" customWidth="1"/>
    <col min="11" max="11" width="43.5703125" style="1" hidden="1" customWidth="1"/>
    <col min="12" max="12" width="13.85546875" style="1" customWidth="1"/>
    <col min="13" max="13" width="10.42578125" style="1" customWidth="1"/>
    <col min="14" max="14" width="12.85546875" style="1" customWidth="1"/>
    <col min="15" max="15" width="13" style="1" customWidth="1"/>
    <col min="16" max="17" width="8.85546875" style="1"/>
    <col min="18" max="23" width="10.5703125" style="1" bestFit="1" customWidth="1"/>
    <col min="24" max="16384" width="8.85546875" style="1"/>
  </cols>
  <sheetData>
    <row r="2" spans="1:5" x14ac:dyDescent="0.3">
      <c r="A2" s="48">
        <v>1</v>
      </c>
      <c r="B2" s="24" t="s">
        <v>205</v>
      </c>
    </row>
    <row r="3" spans="1:5" x14ac:dyDescent="0.3">
      <c r="B3" s="1" t="s">
        <v>203</v>
      </c>
      <c r="D3" s="1">
        <v>1025</v>
      </c>
      <c r="E3" s="1" t="s">
        <v>2</v>
      </c>
    </row>
    <row r="4" spans="1:5" x14ac:dyDescent="0.3">
      <c r="B4" s="1" t="s">
        <v>204</v>
      </c>
      <c r="D4" s="1">
        <v>7850</v>
      </c>
      <c r="E4" s="1" t="s">
        <v>2</v>
      </c>
    </row>
    <row r="5" spans="1:5" x14ac:dyDescent="0.3">
      <c r="B5" s="1" t="s">
        <v>3</v>
      </c>
      <c r="D5" s="1">
        <v>9.81</v>
      </c>
      <c r="E5" s="1" t="s">
        <v>4</v>
      </c>
    </row>
    <row r="7" spans="1:5" x14ac:dyDescent="0.3">
      <c r="A7" s="48">
        <v>2</v>
      </c>
      <c r="B7" s="25" t="s">
        <v>208</v>
      </c>
    </row>
    <row r="8" spans="1:5" x14ac:dyDescent="0.3">
      <c r="B8" s="1" t="s">
        <v>5</v>
      </c>
      <c r="D8" s="15">
        <v>50</v>
      </c>
      <c r="E8" s="1" t="s">
        <v>0</v>
      </c>
    </row>
    <row r="9" spans="1:5" x14ac:dyDescent="0.3">
      <c r="B9" s="1" t="s">
        <v>210</v>
      </c>
      <c r="D9" s="25">
        <v>3</v>
      </c>
    </row>
    <row r="10" spans="1:5" x14ac:dyDescent="0.3">
      <c r="B10" s="1" t="s">
        <v>123</v>
      </c>
      <c r="D10" s="15">
        <v>30</v>
      </c>
      <c r="E10" s="1" t="s">
        <v>122</v>
      </c>
    </row>
    <row r="11" spans="1:5" x14ac:dyDescent="0.3">
      <c r="B11" s="1" t="s">
        <v>124</v>
      </c>
      <c r="D11" s="15">
        <v>500</v>
      </c>
      <c r="E11" s="1" t="s">
        <v>125</v>
      </c>
    </row>
    <row r="12" spans="1:5" x14ac:dyDescent="0.3">
      <c r="B12" s="1" t="s">
        <v>191</v>
      </c>
      <c r="D12" s="15">
        <v>2</v>
      </c>
      <c r="E12" s="1" t="s">
        <v>122</v>
      </c>
    </row>
    <row r="13" spans="1:5" x14ac:dyDescent="0.3">
      <c r="B13" s="1" t="s">
        <v>209</v>
      </c>
      <c r="D13" s="25">
        <v>12</v>
      </c>
      <c r="E13" s="1" t="s">
        <v>27</v>
      </c>
    </row>
    <row r="15" spans="1:5" x14ac:dyDescent="0.3">
      <c r="A15" s="48">
        <v>3</v>
      </c>
      <c r="B15" s="24" t="s">
        <v>211</v>
      </c>
    </row>
    <row r="16" spans="1:5" x14ac:dyDescent="0.3">
      <c r="B16" s="1" t="s">
        <v>1</v>
      </c>
      <c r="D16" s="1">
        <f>D3*D5*D8</f>
        <v>502762.5</v>
      </c>
      <c r="E16" s="1" t="s">
        <v>7</v>
      </c>
    </row>
    <row r="17" spans="1:9" x14ac:dyDescent="0.3">
      <c r="B17" s="1" t="s">
        <v>17</v>
      </c>
      <c r="D17" s="2">
        <f>D16/D18</f>
        <v>5.0276249999999996</v>
      </c>
      <c r="E17" s="1" t="s">
        <v>8</v>
      </c>
    </row>
    <row r="18" spans="1:9" x14ac:dyDescent="0.3">
      <c r="B18" s="1" t="s">
        <v>6</v>
      </c>
      <c r="D18" s="1">
        <v>100000</v>
      </c>
      <c r="E18" s="1" t="s">
        <v>7</v>
      </c>
    </row>
    <row r="20" spans="1:9" x14ac:dyDescent="0.3">
      <c r="A20" s="48">
        <v>4</v>
      </c>
      <c r="B20" s="24" t="s">
        <v>9</v>
      </c>
      <c r="F20" s="1" t="s">
        <v>206</v>
      </c>
    </row>
    <row r="21" spans="1:9" x14ac:dyDescent="0.3">
      <c r="B21" s="1" t="s">
        <v>40</v>
      </c>
      <c r="D21" s="19">
        <v>14.94</v>
      </c>
      <c r="F21" s="20">
        <f>E124</f>
        <v>14.939594691926896</v>
      </c>
    </row>
    <row r="22" spans="1:9" x14ac:dyDescent="0.3">
      <c r="B22" s="1" t="s">
        <v>10</v>
      </c>
      <c r="D22" s="15">
        <v>1.5</v>
      </c>
      <c r="E22" s="1" t="s">
        <v>0</v>
      </c>
      <c r="I22" s="5"/>
    </row>
    <row r="23" spans="1:9" x14ac:dyDescent="0.3">
      <c r="B23" s="1" t="s">
        <v>174</v>
      </c>
      <c r="D23" s="15">
        <v>2.2000000000000002</v>
      </c>
      <c r="I23" s="5"/>
    </row>
    <row r="24" spans="1:9" x14ac:dyDescent="0.3">
      <c r="B24" s="1" t="s">
        <v>185</v>
      </c>
      <c r="D24" s="16">
        <f>D23-D22</f>
        <v>0.70000000000000018</v>
      </c>
      <c r="I24" s="5"/>
    </row>
    <row r="25" spans="1:9" x14ac:dyDescent="0.3">
      <c r="B25" s="1" t="s">
        <v>59</v>
      </c>
      <c r="D25" s="1">
        <f>D21+2*D22</f>
        <v>17.939999999999998</v>
      </c>
      <c r="I25" s="5"/>
    </row>
    <row r="26" spans="1:9" x14ac:dyDescent="0.3">
      <c r="B26" s="1" t="s">
        <v>78</v>
      </c>
      <c r="D26" s="5">
        <f>D36/(D25*2*D22*2*D22)</f>
        <v>0.74161900155812566</v>
      </c>
      <c r="I26" s="5"/>
    </row>
    <row r="27" spans="1:9" x14ac:dyDescent="0.3">
      <c r="I27" s="5"/>
    </row>
    <row r="28" spans="1:9" x14ac:dyDescent="0.3">
      <c r="A28" s="48">
        <v>5</v>
      </c>
      <c r="B28" s="24" t="s">
        <v>11</v>
      </c>
      <c r="I28" s="5"/>
    </row>
    <row r="29" spans="1:9" x14ac:dyDescent="0.3">
      <c r="B29" s="1" t="s">
        <v>170</v>
      </c>
      <c r="D29" s="2">
        <f>2*D22*PI()*D21</f>
        <v>140.80618273389453</v>
      </c>
      <c r="E29" s="1" t="s">
        <v>12</v>
      </c>
      <c r="I29" s="5"/>
    </row>
    <row r="30" spans="1:9" x14ac:dyDescent="0.3">
      <c r="B30" s="1" t="s">
        <v>15</v>
      </c>
      <c r="D30" s="2">
        <f>4*D22^2*PI()</f>
        <v>28.274333882308138</v>
      </c>
      <c r="E30" s="1" t="s">
        <v>12</v>
      </c>
      <c r="I30" s="5"/>
    </row>
    <row r="31" spans="1:9" x14ac:dyDescent="0.3">
      <c r="B31" s="1" t="s">
        <v>24</v>
      </c>
      <c r="D31" s="2">
        <f>D29+D30</f>
        <v>169.08051661620266</v>
      </c>
      <c r="E31" s="1" t="s">
        <v>12</v>
      </c>
      <c r="I31" s="5"/>
    </row>
    <row r="32" spans="1:9" x14ac:dyDescent="0.3">
      <c r="I32" s="5"/>
    </row>
    <row r="33" spans="1:43" x14ac:dyDescent="0.3">
      <c r="A33" s="48">
        <v>6</v>
      </c>
      <c r="B33" s="24" t="s">
        <v>13</v>
      </c>
      <c r="I33" s="5"/>
    </row>
    <row r="34" spans="1:43" x14ac:dyDescent="0.3">
      <c r="B34" s="1" t="s">
        <v>169</v>
      </c>
      <c r="D34" s="2">
        <f>D22^2*PI()*D21</f>
        <v>105.60463705042089</v>
      </c>
      <c r="E34" s="1" t="s">
        <v>14</v>
      </c>
      <c r="I34" s="5"/>
    </row>
    <row r="35" spans="1:43" x14ac:dyDescent="0.3">
      <c r="B35" s="1" t="s">
        <v>105</v>
      </c>
      <c r="D35" s="2">
        <f>4/3*D22^3*PI()</f>
        <v>14.137166941154069</v>
      </c>
      <c r="E35" s="1" t="s">
        <v>14</v>
      </c>
      <c r="I35" s="5"/>
    </row>
    <row r="36" spans="1:43" x14ac:dyDescent="0.3">
      <c r="B36" s="1" t="s">
        <v>38</v>
      </c>
      <c r="D36" s="20">
        <f>D34+D35</f>
        <v>119.74180399157495</v>
      </c>
      <c r="E36" s="16" t="s">
        <v>14</v>
      </c>
      <c r="I36" s="5"/>
    </row>
    <row r="37" spans="1:43" x14ac:dyDescent="0.3">
      <c r="B37" s="1" t="s">
        <v>37</v>
      </c>
      <c r="D37" s="2">
        <f>D36*D3/1000</f>
        <v>122.73534909136433</v>
      </c>
      <c r="E37" s="1" t="s">
        <v>33</v>
      </c>
      <c r="I37" s="5"/>
      <c r="R37" s="2"/>
      <c r="S37" s="2"/>
      <c r="T37" s="2"/>
      <c r="U37" s="2"/>
      <c r="V37" s="2"/>
      <c r="W37" s="2"/>
      <c r="AA37" s="2"/>
      <c r="AB37" s="2"/>
      <c r="AC37" s="2"/>
      <c r="AD37" s="2"/>
      <c r="AE37" s="2"/>
      <c r="AF37" s="2"/>
      <c r="AL37" s="2"/>
      <c r="AM37" s="2"/>
      <c r="AN37" s="2"/>
      <c r="AO37" s="2"/>
      <c r="AP37" s="2"/>
      <c r="AQ37" s="2"/>
    </row>
    <row r="38" spans="1:43" x14ac:dyDescent="0.3">
      <c r="B38" s="1" t="s">
        <v>16</v>
      </c>
      <c r="F38" s="8" t="s">
        <v>61</v>
      </c>
      <c r="I38" s="5"/>
      <c r="R38" s="2"/>
      <c r="S38" s="2"/>
      <c r="T38" s="2"/>
      <c r="U38" s="2"/>
      <c r="V38" s="2"/>
      <c r="W38" s="2"/>
      <c r="AA38" s="2"/>
      <c r="AB38" s="2"/>
      <c r="AC38" s="2"/>
      <c r="AD38" s="2"/>
      <c r="AE38" s="2"/>
      <c r="AF38" s="2"/>
      <c r="AL38" s="2"/>
      <c r="AM38" s="2"/>
      <c r="AN38" s="2"/>
      <c r="AO38" s="2"/>
      <c r="AP38" s="2"/>
      <c r="AQ38" s="2"/>
    </row>
    <row r="39" spans="1:43" x14ac:dyDescent="0.3">
      <c r="B39" s="1" t="s">
        <v>34</v>
      </c>
      <c r="D39" s="2">
        <f>D40*D41/(10*D42*D43-0.5*D40)</f>
        <v>12.090614830955793</v>
      </c>
      <c r="E39" s="2" t="s">
        <v>21</v>
      </c>
      <c r="F39" s="2">
        <f>D40*D41/(20*D42+D40)</f>
        <v>6.0210413847232509</v>
      </c>
      <c r="G39" s="1" t="s">
        <v>21</v>
      </c>
      <c r="I39" s="5"/>
      <c r="R39" s="2"/>
      <c r="S39" s="2"/>
      <c r="T39" s="2"/>
      <c r="U39" s="2"/>
      <c r="V39" s="2"/>
      <c r="W39" s="2"/>
      <c r="AA39" s="2"/>
      <c r="AB39" s="2"/>
      <c r="AC39" s="2"/>
      <c r="AD39" s="2"/>
      <c r="AE39" s="2"/>
      <c r="AF39" s="2"/>
      <c r="AL39" s="2"/>
      <c r="AM39" s="2"/>
      <c r="AN39" s="2"/>
      <c r="AO39" s="2"/>
      <c r="AP39" s="2"/>
      <c r="AQ39" s="2"/>
    </row>
    <row r="40" spans="1:43" x14ac:dyDescent="0.3">
      <c r="B40" s="1" t="s">
        <v>17</v>
      </c>
      <c r="D40" s="2">
        <f>D17</f>
        <v>5.0276249999999996</v>
      </c>
      <c r="E40" s="1" t="s">
        <v>8</v>
      </c>
      <c r="I40" s="5"/>
      <c r="R40" s="2"/>
      <c r="S40" s="2"/>
      <c r="T40" s="2"/>
      <c r="U40" s="2"/>
      <c r="V40" s="2"/>
      <c r="W40" s="2"/>
      <c r="AA40" s="2"/>
      <c r="AB40" s="2"/>
      <c r="AC40" s="2"/>
      <c r="AD40" s="2"/>
      <c r="AE40" s="2"/>
      <c r="AF40" s="2"/>
      <c r="AL40" s="2"/>
      <c r="AM40" s="2"/>
      <c r="AN40" s="2"/>
      <c r="AO40" s="2"/>
      <c r="AP40" s="2"/>
      <c r="AQ40" s="2"/>
    </row>
    <row r="41" spans="1:43" x14ac:dyDescent="0.3">
      <c r="B41" s="1" t="s">
        <v>60</v>
      </c>
      <c r="D41" s="1">
        <f>D22*2*1000</f>
        <v>3000</v>
      </c>
      <c r="E41" s="1" t="s">
        <v>21</v>
      </c>
      <c r="I41" s="5"/>
      <c r="R41" s="2"/>
      <c r="S41" s="2"/>
      <c r="T41" s="2"/>
      <c r="U41" s="2"/>
      <c r="V41" s="2"/>
      <c r="W41" s="2"/>
      <c r="AA41" s="2"/>
      <c r="AB41" s="2"/>
      <c r="AC41" s="2"/>
      <c r="AD41" s="2"/>
      <c r="AE41" s="2"/>
      <c r="AF41" s="2"/>
      <c r="AL41" s="2"/>
      <c r="AM41" s="2"/>
      <c r="AN41" s="2"/>
      <c r="AO41" s="2"/>
      <c r="AP41" s="2"/>
      <c r="AQ41" s="2"/>
    </row>
    <row r="42" spans="1:43" x14ac:dyDescent="0.3">
      <c r="B42" s="1" t="s">
        <v>18</v>
      </c>
      <c r="D42" s="16">
        <v>125</v>
      </c>
      <c r="E42" s="1" t="s">
        <v>19</v>
      </c>
      <c r="I42" s="5"/>
      <c r="R42" s="2"/>
      <c r="S42" s="2"/>
      <c r="T42" s="2"/>
      <c r="U42" s="2"/>
      <c r="V42" s="2"/>
      <c r="W42" s="2"/>
      <c r="AA42" s="2"/>
      <c r="AB42" s="2"/>
      <c r="AC42" s="2"/>
      <c r="AD42" s="2"/>
      <c r="AE42" s="2"/>
      <c r="AF42" s="2"/>
      <c r="AL42" s="2"/>
      <c r="AM42" s="2"/>
      <c r="AN42" s="2"/>
      <c r="AO42" s="2"/>
      <c r="AP42" s="2"/>
      <c r="AQ42" s="2"/>
    </row>
    <row r="43" spans="1:43" x14ac:dyDescent="0.3">
      <c r="B43" s="1" t="s">
        <v>20</v>
      </c>
      <c r="D43" s="1">
        <v>1</v>
      </c>
      <c r="I43" s="5"/>
      <c r="R43" s="2"/>
      <c r="S43" s="2"/>
      <c r="T43" s="2"/>
      <c r="U43" s="2"/>
      <c r="V43" s="2"/>
      <c r="W43" s="2"/>
      <c r="AA43" s="2"/>
      <c r="AB43" s="2"/>
      <c r="AC43" s="2"/>
      <c r="AD43" s="2"/>
      <c r="AE43" s="2"/>
      <c r="AF43" s="2"/>
      <c r="AL43" s="2"/>
      <c r="AM43" s="2"/>
      <c r="AN43" s="2"/>
      <c r="AO43" s="2"/>
      <c r="AP43" s="2"/>
      <c r="AQ43" s="2"/>
    </row>
    <row r="44" spans="1:43" x14ac:dyDescent="0.3">
      <c r="R44" s="2"/>
      <c r="S44" s="2"/>
      <c r="T44" s="2"/>
      <c r="U44" s="2"/>
      <c r="V44" s="2"/>
      <c r="W44" s="2"/>
      <c r="AA44" s="2"/>
      <c r="AB44" s="2"/>
      <c r="AC44" s="2"/>
      <c r="AD44" s="2"/>
      <c r="AE44" s="2"/>
      <c r="AF44" s="2"/>
      <c r="AL44" s="2"/>
      <c r="AM44" s="2"/>
      <c r="AN44" s="2"/>
      <c r="AO44" s="2"/>
      <c r="AP44" s="2"/>
      <c r="AQ44" s="2"/>
    </row>
    <row r="45" spans="1:43" x14ac:dyDescent="0.3">
      <c r="A45" s="48">
        <v>7</v>
      </c>
      <c r="B45" s="24" t="s">
        <v>70</v>
      </c>
      <c r="R45" s="2"/>
      <c r="S45" s="2"/>
      <c r="T45" s="2"/>
      <c r="U45" s="2"/>
      <c r="V45" s="2"/>
      <c r="W45" s="2"/>
      <c r="AA45" s="2"/>
      <c r="AB45" s="2"/>
      <c r="AC45" s="2"/>
      <c r="AD45" s="2"/>
      <c r="AE45" s="2"/>
      <c r="AF45" s="2"/>
      <c r="AL45" s="2"/>
      <c r="AM45" s="2"/>
      <c r="AN45" s="2"/>
      <c r="AO45" s="2"/>
      <c r="AP45" s="2"/>
      <c r="AQ45" s="2"/>
    </row>
    <row r="46" spans="1:43" x14ac:dyDescent="0.3">
      <c r="B46" s="6" t="s">
        <v>62</v>
      </c>
      <c r="F46" s="2">
        <f>D31*F39/1000*D4/1000*1.5</f>
        <v>11.987430277481801</v>
      </c>
      <c r="G46" s="1" t="s">
        <v>33</v>
      </c>
    </row>
    <row r="49" spans="1:15" x14ac:dyDescent="0.3">
      <c r="A49" s="48">
        <v>8</v>
      </c>
      <c r="B49" s="24" t="s">
        <v>22</v>
      </c>
    </row>
    <row r="50" spans="1:15" x14ac:dyDescent="0.3">
      <c r="B50" s="1" t="s">
        <v>26</v>
      </c>
      <c r="E50" s="47">
        <f>D13</f>
        <v>12</v>
      </c>
      <c r="F50" s="1" t="s">
        <v>27</v>
      </c>
      <c r="G50" s="1" t="s">
        <v>86</v>
      </c>
      <c r="H50" s="5">
        <f>1852/3600</f>
        <v>0.51444444444444448</v>
      </c>
    </row>
    <row r="51" spans="1:15" x14ac:dyDescent="0.3">
      <c r="B51" s="1" t="s">
        <v>26</v>
      </c>
      <c r="E51" s="3">
        <f>E50*H50</f>
        <v>6.1733333333333338</v>
      </c>
      <c r="F51" s="1" t="s">
        <v>28</v>
      </c>
    </row>
    <row r="52" spans="1:15" x14ac:dyDescent="0.3">
      <c r="B52" s="1" t="s">
        <v>80</v>
      </c>
      <c r="E52" s="3">
        <f>E51/SQRT(9.08665*D25)</f>
        <v>0.48351127758467982</v>
      </c>
    </row>
    <row r="53" spans="1:15" x14ac:dyDescent="0.3">
      <c r="B53" s="1" t="s">
        <v>23</v>
      </c>
      <c r="E53" s="9">
        <f>0.075/(LOG10(E54)-2)^2</f>
        <v>2.1044004928933401E-3</v>
      </c>
    </row>
    <row r="54" spans="1:15" x14ac:dyDescent="0.3">
      <c r="B54" s="1" t="s">
        <v>30</v>
      </c>
      <c r="E54" s="9">
        <f>E51*(D25)/E55</f>
        <v>93302106.14995788</v>
      </c>
      <c r="G54" s="8"/>
      <c r="H54" s="5"/>
    </row>
    <row r="55" spans="1:15" x14ac:dyDescent="0.3">
      <c r="B55" s="1" t="s">
        <v>82</v>
      </c>
      <c r="E55" s="9">
        <v>1.187E-6</v>
      </c>
      <c r="F55" s="1" t="s">
        <v>29</v>
      </c>
      <c r="G55" s="8"/>
      <c r="H55" s="5"/>
    </row>
    <row r="56" spans="1:15" x14ac:dyDescent="0.3">
      <c r="B56" s="1" t="s">
        <v>77</v>
      </c>
      <c r="E56" s="9">
        <f>E53*(1+E58)</f>
        <v>3.0217233842543003E-3</v>
      </c>
      <c r="G56" s="8"/>
      <c r="H56" s="5"/>
    </row>
    <row r="57" spans="1:15" x14ac:dyDescent="0.3">
      <c r="B57" s="10" t="s">
        <v>85</v>
      </c>
      <c r="E57" s="9"/>
      <c r="G57" s="8"/>
      <c r="H57" s="5"/>
    </row>
    <row r="58" spans="1:15" x14ac:dyDescent="0.3">
      <c r="B58" s="10" t="s">
        <v>79</v>
      </c>
      <c r="E58" s="3">
        <f>-0.095+25.6*D26/(D25/(2*D22))^2</f>
        <v>0.43590699320723547</v>
      </c>
      <c r="H58" s="5"/>
    </row>
    <row r="59" spans="1:15" x14ac:dyDescent="0.3">
      <c r="B59" s="1" t="s">
        <v>81</v>
      </c>
      <c r="E59" s="2">
        <f>E56*0.5*D3*E51^2*D31/1000</f>
        <v>9.978875323711053</v>
      </c>
      <c r="F59" s="1" t="s">
        <v>32</v>
      </c>
      <c r="H59" s="3"/>
    </row>
    <row r="60" spans="1:15" x14ac:dyDescent="0.3">
      <c r="B60" s="1" t="s">
        <v>25</v>
      </c>
      <c r="E60" s="2">
        <f>E59*E51</f>
        <v>61.602923665042908</v>
      </c>
      <c r="F60" s="1" t="s">
        <v>31</v>
      </c>
      <c r="H60" s="3"/>
    </row>
    <row r="61" spans="1:15" x14ac:dyDescent="0.3">
      <c r="B61" s="1" t="s">
        <v>83</v>
      </c>
      <c r="E61" s="2">
        <f>E60/(0.5*0.98)</f>
        <v>125.72025237763859</v>
      </c>
      <c r="F61" s="1" t="s">
        <v>31</v>
      </c>
    </row>
    <row r="62" spans="1:15" x14ac:dyDescent="0.3">
      <c r="B62" s="12" t="s">
        <v>99</v>
      </c>
      <c r="E62" s="13">
        <f>E61/E63</f>
        <v>147.9061792678101</v>
      </c>
      <c r="F62" s="1" t="s">
        <v>31</v>
      </c>
      <c r="N62" s="12"/>
      <c r="O62" s="12"/>
    </row>
    <row r="63" spans="1:15" x14ac:dyDescent="0.3">
      <c r="B63" s="1" t="s">
        <v>84</v>
      </c>
      <c r="E63" s="16">
        <v>0.85</v>
      </c>
    </row>
    <row r="64" spans="1:15" x14ac:dyDescent="0.3">
      <c r="B64" s="1" t="s">
        <v>104</v>
      </c>
      <c r="E64" s="2">
        <f>E62*E148</f>
        <v>14.79061792678101</v>
      </c>
      <c r="F64" s="1" t="s">
        <v>33</v>
      </c>
    </row>
    <row r="65" spans="1:32" x14ac:dyDescent="0.3">
      <c r="E65" s="2"/>
    </row>
    <row r="66" spans="1:32" x14ac:dyDescent="0.3">
      <c r="E66" s="1" t="s">
        <v>192</v>
      </c>
      <c r="F66" s="1" t="s">
        <v>193</v>
      </c>
    </row>
    <row r="67" spans="1:32" x14ac:dyDescent="0.3">
      <c r="A67" s="48">
        <v>9</v>
      </c>
      <c r="B67" s="24" t="s">
        <v>190</v>
      </c>
      <c r="E67" s="2"/>
    </row>
    <row r="68" spans="1:32" x14ac:dyDescent="0.3">
      <c r="B68" s="1" t="s">
        <v>186</v>
      </c>
      <c r="C68" s="1">
        <v>0.02</v>
      </c>
      <c r="D68" s="1" t="s">
        <v>187</v>
      </c>
      <c r="F68" s="2">
        <f>C68*C135*E62</f>
        <v>5.9162471707124045</v>
      </c>
    </row>
    <row r="69" spans="1:32" x14ac:dyDescent="0.3">
      <c r="B69" s="1" t="s">
        <v>188</v>
      </c>
      <c r="C69" s="1">
        <v>17.5</v>
      </c>
      <c r="D69" s="1" t="s">
        <v>189</v>
      </c>
      <c r="E69" s="2">
        <f>C69*C135*E62/1000</f>
        <v>5.1767162743733532</v>
      </c>
    </row>
    <row r="71" spans="1:32" ht="19.5" thickBot="1" x14ac:dyDescent="0.35">
      <c r="A71" s="48">
        <v>10</v>
      </c>
      <c r="B71" s="24" t="s">
        <v>207</v>
      </c>
    </row>
    <row r="72" spans="1:32" x14ac:dyDescent="0.3">
      <c r="B72" s="26"/>
      <c r="C72" s="27"/>
      <c r="D72" s="27" t="s">
        <v>195</v>
      </c>
      <c r="E72" s="27"/>
      <c r="F72" s="28"/>
      <c r="G72" s="27"/>
      <c r="H72" s="28"/>
      <c r="I72" s="27" t="s">
        <v>74</v>
      </c>
      <c r="J72" s="27" t="s">
        <v>35</v>
      </c>
      <c r="K72" s="28"/>
      <c r="L72" s="29" t="s">
        <v>36</v>
      </c>
      <c r="M72" s="28"/>
      <c r="N72" s="27" t="s">
        <v>76</v>
      </c>
      <c r="O72" s="27" t="s">
        <v>75</v>
      </c>
      <c r="P72" s="30"/>
    </row>
    <row r="73" spans="1:32" x14ac:dyDescent="0.3">
      <c r="B73" s="31"/>
      <c r="C73" s="32"/>
      <c r="D73" s="32"/>
      <c r="E73" s="33"/>
      <c r="F73" s="32"/>
      <c r="G73" s="32"/>
      <c r="H73" s="32"/>
      <c r="I73" s="33"/>
      <c r="J73" s="32"/>
      <c r="K73" s="32"/>
      <c r="L73" s="34"/>
      <c r="M73" s="32"/>
      <c r="N73" s="33"/>
      <c r="O73" s="33"/>
      <c r="P73" s="35"/>
      <c r="R73" s="2"/>
      <c r="S73" s="2"/>
      <c r="T73" s="2"/>
      <c r="U73" s="2"/>
      <c r="V73" s="2"/>
      <c r="W73" s="2"/>
      <c r="AA73" s="2"/>
      <c r="AB73" s="2"/>
      <c r="AC73" s="2"/>
      <c r="AD73" s="2"/>
      <c r="AE73" s="2"/>
      <c r="AF73" s="2"/>
    </row>
    <row r="74" spans="1:32" x14ac:dyDescent="0.3">
      <c r="B74" s="31" t="s">
        <v>172</v>
      </c>
      <c r="C74" s="32"/>
      <c r="D74" s="32" t="s">
        <v>55</v>
      </c>
      <c r="E74" s="33"/>
      <c r="F74" s="32"/>
      <c r="G74" s="32"/>
      <c r="H74" s="32"/>
      <c r="I74" s="33">
        <f>F46</f>
        <v>11.987430277481801</v>
      </c>
      <c r="J74" s="32">
        <f>D22+D24</f>
        <v>2.2000000000000002</v>
      </c>
      <c r="K74" s="32" t="s">
        <v>71</v>
      </c>
      <c r="L74" s="34">
        <f>D25/2</f>
        <v>8.9699999999999989</v>
      </c>
      <c r="M74" s="32"/>
      <c r="N74" s="33">
        <f>I74*J74</f>
        <v>26.372346610459964</v>
      </c>
      <c r="O74" s="33">
        <f>I74*L74</f>
        <v>107.52724958901175</v>
      </c>
      <c r="P74" s="35"/>
      <c r="R74" s="2"/>
      <c r="S74" s="2"/>
      <c r="T74" s="2"/>
      <c r="U74" s="2"/>
      <c r="V74" s="2"/>
      <c r="W74" s="2"/>
      <c r="AA74" s="2"/>
      <c r="AB74" s="2"/>
      <c r="AC74" s="2"/>
      <c r="AD74" s="2"/>
      <c r="AE74" s="2"/>
      <c r="AF74" s="2"/>
    </row>
    <row r="75" spans="1:32" x14ac:dyDescent="0.3">
      <c r="B75" s="31" t="s">
        <v>171</v>
      </c>
      <c r="C75" s="32"/>
      <c r="D75" s="32"/>
      <c r="E75" s="33"/>
      <c r="F75" s="32"/>
      <c r="G75" s="32"/>
      <c r="H75" s="32"/>
      <c r="I75" s="33">
        <f>5*156/1000</f>
        <v>0.78</v>
      </c>
      <c r="J75" s="32">
        <f>D22/2+D24</f>
        <v>1.4500000000000002</v>
      </c>
      <c r="K75" s="32"/>
      <c r="L75" s="34">
        <f>E195</f>
        <v>15.939594691926898</v>
      </c>
      <c r="M75" s="32"/>
      <c r="N75" s="33">
        <f t="shared" ref="N75:N88" si="0">I75*J75</f>
        <v>1.1310000000000002</v>
      </c>
      <c r="O75" s="33">
        <f t="shared" ref="O75:O88" si="1">I75*L75</f>
        <v>12.432883859702981</v>
      </c>
      <c r="P75" s="35"/>
      <c r="R75" s="2"/>
      <c r="S75" s="2"/>
      <c r="T75" s="2"/>
      <c r="U75" s="2"/>
      <c r="V75" s="2"/>
      <c r="W75" s="2"/>
      <c r="AA75" s="2"/>
      <c r="AB75" s="2"/>
      <c r="AC75" s="2"/>
      <c r="AD75" s="2"/>
      <c r="AE75" s="2"/>
      <c r="AF75" s="2"/>
    </row>
    <row r="76" spans="1:32" x14ac:dyDescent="0.3">
      <c r="B76" s="31" t="s">
        <v>180</v>
      </c>
      <c r="C76" s="32"/>
      <c r="D76" s="32"/>
      <c r="E76" s="33"/>
      <c r="F76" s="32"/>
      <c r="G76" s="32"/>
      <c r="H76" s="32"/>
      <c r="I76" s="33">
        <v>1</v>
      </c>
      <c r="J76" s="32">
        <f>D22/2+D24</f>
        <v>1.4500000000000002</v>
      </c>
      <c r="K76" s="32"/>
      <c r="L76" s="34">
        <f>E186</f>
        <v>12.455676407909269</v>
      </c>
      <c r="M76" s="32"/>
      <c r="N76" s="33">
        <f t="shared" si="0"/>
        <v>1.4500000000000002</v>
      </c>
      <c r="O76" s="33">
        <f t="shared" si="1"/>
        <v>12.455676407909269</v>
      </c>
      <c r="P76" s="35"/>
      <c r="R76" s="2"/>
      <c r="S76" s="2"/>
      <c r="T76" s="2"/>
      <c r="U76" s="2"/>
      <c r="V76" s="2"/>
      <c r="W76" s="2"/>
      <c r="AA76" s="2"/>
      <c r="AB76" s="2"/>
      <c r="AC76" s="2"/>
      <c r="AD76" s="2"/>
      <c r="AE76" s="2"/>
      <c r="AF76" s="2"/>
    </row>
    <row r="77" spans="1:32" x14ac:dyDescent="0.3">
      <c r="B77" s="31" t="s">
        <v>181</v>
      </c>
      <c r="C77" s="32"/>
      <c r="D77" s="32"/>
      <c r="E77" s="33"/>
      <c r="F77" s="32"/>
      <c r="G77" s="32"/>
      <c r="H77" s="32"/>
      <c r="I77" s="33">
        <f>E64</f>
        <v>14.79061792678101</v>
      </c>
      <c r="J77" s="32">
        <f>D22+D24</f>
        <v>2.2000000000000002</v>
      </c>
      <c r="K77" s="32"/>
      <c r="L77" s="34">
        <f>E177</f>
        <v>8.685879061945819</v>
      </c>
      <c r="M77" s="32"/>
      <c r="N77" s="33">
        <f t="shared" si="0"/>
        <v>32.539359438918225</v>
      </c>
      <c r="O77" s="33">
        <f t="shared" si="1"/>
        <v>128.46951856346766</v>
      </c>
      <c r="P77" s="35"/>
      <c r="R77" s="2"/>
      <c r="S77" s="2"/>
      <c r="T77" s="2"/>
      <c r="U77" s="2"/>
      <c r="V77" s="2"/>
      <c r="W77" s="2"/>
      <c r="AA77" s="2"/>
      <c r="AB77" s="2"/>
      <c r="AC77" s="2"/>
      <c r="AD77" s="2"/>
      <c r="AE77" s="2"/>
      <c r="AF77" s="2"/>
    </row>
    <row r="78" spans="1:32" x14ac:dyDescent="0.3">
      <c r="B78" s="31" t="s">
        <v>182</v>
      </c>
      <c r="C78" s="32"/>
      <c r="D78" s="32"/>
      <c r="E78" s="33"/>
      <c r="F78" s="32"/>
      <c r="G78" s="32"/>
      <c r="H78" s="32"/>
      <c r="I78" s="33">
        <f>F142</f>
        <v>11.092963445085758</v>
      </c>
      <c r="J78" s="32">
        <f>D22/2+D24</f>
        <v>1.4500000000000002</v>
      </c>
      <c r="K78" s="32"/>
      <c r="L78" s="34">
        <f>E177</f>
        <v>8.685879061945819</v>
      </c>
      <c r="M78" s="32"/>
      <c r="N78" s="33">
        <f t="shared" si="0"/>
        <v>16.084796995374351</v>
      </c>
      <c r="O78" s="33">
        <f t="shared" si="1"/>
        <v>96.352138922600744</v>
      </c>
      <c r="P78" s="35"/>
      <c r="R78" s="2"/>
      <c r="S78" s="2"/>
      <c r="T78" s="2"/>
      <c r="U78" s="2"/>
      <c r="V78" s="2"/>
      <c r="W78" s="2"/>
      <c r="AA78" s="2"/>
      <c r="AB78" s="2"/>
      <c r="AC78" s="2"/>
      <c r="AD78" s="2"/>
      <c r="AE78" s="2"/>
      <c r="AF78" s="2"/>
    </row>
    <row r="79" spans="1:32" x14ac:dyDescent="0.3">
      <c r="B79" s="31" t="s">
        <v>196</v>
      </c>
      <c r="C79" s="32"/>
      <c r="D79" s="32" t="s">
        <v>55</v>
      </c>
      <c r="E79" s="32"/>
      <c r="F79" s="32"/>
      <c r="G79" s="32"/>
      <c r="H79" s="32"/>
      <c r="I79" s="33"/>
      <c r="J79" s="32">
        <f>D22/2+D24</f>
        <v>1.4500000000000002</v>
      </c>
      <c r="K79" s="32" t="s">
        <v>71</v>
      </c>
      <c r="L79" s="34">
        <f>E168</f>
        <v>7.15</v>
      </c>
      <c r="M79" s="32"/>
      <c r="N79" s="33">
        <f t="shared" si="0"/>
        <v>0</v>
      </c>
      <c r="O79" s="33">
        <f t="shared" si="1"/>
        <v>0</v>
      </c>
      <c r="P79" s="35"/>
      <c r="R79" s="2"/>
      <c r="S79" s="2"/>
      <c r="T79" s="2"/>
      <c r="U79" s="2"/>
      <c r="V79" s="2"/>
      <c r="W79" s="2"/>
      <c r="AA79" s="2"/>
      <c r="AB79" s="2"/>
      <c r="AC79" s="2"/>
      <c r="AD79" s="2"/>
      <c r="AE79" s="2"/>
      <c r="AF79" s="2"/>
    </row>
    <row r="80" spans="1:32" x14ac:dyDescent="0.3">
      <c r="B80" s="31" t="s">
        <v>184</v>
      </c>
      <c r="C80" s="32"/>
      <c r="D80" s="32"/>
      <c r="E80" s="33"/>
      <c r="F80" s="32"/>
      <c r="G80" s="32"/>
      <c r="H80" s="32"/>
      <c r="I80" s="33">
        <f>2*100/1000</f>
        <v>0.2</v>
      </c>
      <c r="J80" s="32">
        <f>D22/2+D24</f>
        <v>1.4500000000000002</v>
      </c>
      <c r="K80" s="32"/>
      <c r="L80" s="34">
        <f>E159</f>
        <v>3.95</v>
      </c>
      <c r="M80" s="32"/>
      <c r="N80" s="33">
        <f t="shared" si="0"/>
        <v>0.29000000000000004</v>
      </c>
      <c r="O80" s="33">
        <f t="shared" si="1"/>
        <v>0.79</v>
      </c>
      <c r="P80" s="35"/>
      <c r="R80" s="2"/>
      <c r="S80" s="2"/>
      <c r="T80" s="2"/>
      <c r="U80" s="2"/>
      <c r="V80" s="2"/>
      <c r="W80" s="2"/>
      <c r="AA80" s="2"/>
      <c r="AB80" s="2"/>
      <c r="AC80" s="2"/>
      <c r="AD80" s="2"/>
      <c r="AE80" s="2"/>
      <c r="AF80" s="2"/>
    </row>
    <row r="81" spans="2:32" x14ac:dyDescent="0.3">
      <c r="B81" s="31" t="s">
        <v>183</v>
      </c>
      <c r="C81" s="32"/>
      <c r="D81" s="32"/>
      <c r="E81" s="33"/>
      <c r="F81" s="32"/>
      <c r="G81" s="32"/>
      <c r="H81" s="32"/>
      <c r="I81" s="33">
        <f>4*100/1000</f>
        <v>0.4</v>
      </c>
      <c r="J81" s="32">
        <f>D22/2+D24</f>
        <v>1.4500000000000002</v>
      </c>
      <c r="K81" s="32"/>
      <c r="L81" s="34">
        <f>E159</f>
        <v>3.95</v>
      </c>
      <c r="M81" s="32"/>
      <c r="N81" s="33">
        <f t="shared" si="0"/>
        <v>0.58000000000000007</v>
      </c>
      <c r="O81" s="33">
        <f t="shared" si="1"/>
        <v>1.58</v>
      </c>
      <c r="P81" s="35"/>
      <c r="R81" s="2"/>
      <c r="S81" s="2"/>
      <c r="T81" s="2"/>
      <c r="U81" s="2"/>
      <c r="V81" s="2"/>
      <c r="W81" s="2"/>
      <c r="AA81" s="2"/>
      <c r="AB81" s="2"/>
      <c r="AC81" s="2"/>
      <c r="AD81" s="2"/>
      <c r="AE81" s="2"/>
      <c r="AF81" s="2"/>
    </row>
    <row r="82" spans="2:32" x14ac:dyDescent="0.3">
      <c r="B82" s="31" t="s">
        <v>194</v>
      </c>
      <c r="C82" s="32"/>
      <c r="D82" s="32"/>
      <c r="E82" s="33"/>
      <c r="F82" s="32"/>
      <c r="G82" s="32"/>
      <c r="H82" s="32"/>
      <c r="I82" s="33">
        <f>E69</f>
        <v>5.1767162743733532</v>
      </c>
      <c r="J82" s="32">
        <f>D22/2+D24</f>
        <v>1.4500000000000002</v>
      </c>
      <c r="K82" s="32"/>
      <c r="L82" s="34">
        <f>D25/2</f>
        <v>8.9699999999999989</v>
      </c>
      <c r="M82" s="32"/>
      <c r="N82" s="33"/>
      <c r="O82" s="33"/>
      <c r="P82" s="35"/>
      <c r="R82" s="2"/>
      <c r="S82" s="2"/>
      <c r="T82" s="2"/>
      <c r="U82" s="2"/>
      <c r="V82" s="2"/>
      <c r="W82" s="2"/>
      <c r="AA82" s="2"/>
      <c r="AB82" s="2"/>
      <c r="AC82" s="2"/>
      <c r="AD82" s="2"/>
      <c r="AE82" s="2"/>
      <c r="AF82" s="2"/>
    </row>
    <row r="83" spans="2:32" x14ac:dyDescent="0.3">
      <c r="B83" s="31"/>
      <c r="C83" s="32"/>
      <c r="D83" s="32"/>
      <c r="E83" s="33"/>
      <c r="F83" s="32"/>
      <c r="G83" s="32"/>
      <c r="H83" s="32"/>
      <c r="I83" s="32"/>
      <c r="J83" s="32"/>
      <c r="K83" s="32"/>
      <c r="L83" s="32"/>
      <c r="M83" s="32"/>
      <c r="N83" s="33"/>
      <c r="O83" s="33"/>
      <c r="P83" s="35"/>
      <c r="R83" s="2"/>
      <c r="S83" s="2"/>
      <c r="T83" s="2"/>
      <c r="U83" s="2"/>
      <c r="V83" s="2"/>
      <c r="W83" s="2"/>
      <c r="AA83" s="2"/>
      <c r="AB83" s="2"/>
      <c r="AC83" s="2"/>
      <c r="AD83" s="2"/>
      <c r="AE83" s="2"/>
      <c r="AF83" s="2"/>
    </row>
    <row r="84" spans="2:32" x14ac:dyDescent="0.3">
      <c r="B84" s="31" t="s">
        <v>179</v>
      </c>
      <c r="C84" s="32"/>
      <c r="D84" s="33">
        <v>54.431996323424634</v>
      </c>
      <c r="E84" s="33"/>
      <c r="F84" s="32"/>
      <c r="G84" s="36"/>
      <c r="H84" s="32"/>
      <c r="I84" s="33">
        <f>E197*$D$3/1000*D84/100</f>
        <v>4.5397063839913532</v>
      </c>
      <c r="J84" s="34">
        <f>$D$23*D84/100</f>
        <v>1.197503919115342</v>
      </c>
      <c r="K84" s="37"/>
      <c r="L84" s="34">
        <f>E195</f>
        <v>15.939594691926898</v>
      </c>
      <c r="M84" s="32"/>
      <c r="N84" s="33">
        <f t="shared" si="0"/>
        <v>5.4363161864625829</v>
      </c>
      <c r="O84" s="33">
        <f t="shared" si="1"/>
        <v>72.361079781175221</v>
      </c>
      <c r="P84" s="35"/>
      <c r="R84" s="2"/>
      <c r="S84" s="2"/>
      <c r="T84" s="2"/>
      <c r="U84" s="2"/>
      <c r="V84" s="2"/>
      <c r="W84" s="2"/>
      <c r="AA84" s="2"/>
      <c r="AB84" s="2"/>
      <c r="AC84" s="2"/>
      <c r="AD84" s="2"/>
      <c r="AE84" s="2"/>
      <c r="AF84" s="2"/>
    </row>
    <row r="85" spans="2:32" x14ac:dyDescent="0.3">
      <c r="B85" s="31" t="s">
        <v>178</v>
      </c>
      <c r="C85" s="32"/>
      <c r="D85" s="33">
        <v>100</v>
      </c>
      <c r="E85" s="33"/>
      <c r="F85" s="32"/>
      <c r="G85" s="36"/>
      <c r="H85" s="32"/>
      <c r="I85" s="33">
        <f>E188*$D$3/1000*D85/100</f>
        <v>49.772610957624671</v>
      </c>
      <c r="J85" s="34">
        <f t="shared" ref="J85:J88" si="2">$D$23*D85/100</f>
        <v>2.2000000000000002</v>
      </c>
      <c r="K85" s="37"/>
      <c r="L85" s="34">
        <f>E186</f>
        <v>12.455676407909269</v>
      </c>
      <c r="M85" s="32"/>
      <c r="N85" s="33">
        <f t="shared" si="0"/>
        <v>109.49974410677429</v>
      </c>
      <c r="O85" s="33">
        <f t="shared" si="1"/>
        <v>619.95153606493204</v>
      </c>
      <c r="P85" s="35"/>
      <c r="R85" s="2"/>
      <c r="S85" s="2"/>
      <c r="T85" s="2"/>
      <c r="U85" s="2"/>
      <c r="V85" s="2"/>
      <c r="W85" s="2"/>
      <c r="AA85" s="2"/>
      <c r="AB85" s="2"/>
      <c r="AC85" s="2"/>
      <c r="AD85" s="2"/>
      <c r="AE85" s="2"/>
      <c r="AF85" s="2"/>
    </row>
    <row r="86" spans="2:32" x14ac:dyDescent="0.3">
      <c r="B86" s="31" t="s">
        <v>177</v>
      </c>
      <c r="C86" s="32"/>
      <c r="D86" s="33">
        <v>60.109571401344191</v>
      </c>
      <c r="E86" s="33"/>
      <c r="F86" s="32"/>
      <c r="G86" s="36"/>
      <c r="H86" s="32"/>
      <c r="I86" s="33">
        <f>E179*$D$3/1000*D86/100</f>
        <v>7.8795759731628348</v>
      </c>
      <c r="J86" s="34">
        <f t="shared" si="2"/>
        <v>1.3224105708295724</v>
      </c>
      <c r="K86" s="37"/>
      <c r="L86" s="34">
        <f>E177</f>
        <v>8.685879061945819</v>
      </c>
      <c r="M86" s="32"/>
      <c r="N86" s="33">
        <f t="shared" si="0"/>
        <v>10.420034560565247</v>
      </c>
      <c r="O86" s="33">
        <f t="shared" si="1"/>
        <v>68.441043962306424</v>
      </c>
      <c r="P86" s="35"/>
      <c r="R86" s="2"/>
      <c r="S86" s="2"/>
      <c r="T86" s="2"/>
      <c r="U86" s="2"/>
      <c r="V86" s="2"/>
      <c r="W86" s="2"/>
      <c r="AA86" s="2"/>
      <c r="AB86" s="2"/>
      <c r="AC86" s="2"/>
      <c r="AD86" s="2"/>
      <c r="AE86" s="2"/>
      <c r="AF86" s="2"/>
    </row>
    <row r="87" spans="2:32" x14ac:dyDescent="0.3">
      <c r="B87" s="31" t="s">
        <v>48</v>
      </c>
      <c r="C87" s="32"/>
      <c r="D87" s="33">
        <v>73.155519594023289</v>
      </c>
      <c r="E87" s="33"/>
      <c r="F87" s="32"/>
      <c r="G87" s="36"/>
      <c r="H87" s="32"/>
      <c r="I87" s="33">
        <f>E170*$D$3/1000*D87/100</f>
        <v>7.6265937719767223</v>
      </c>
      <c r="J87" s="34">
        <f t="shared" si="2"/>
        <v>1.6094214310685127</v>
      </c>
      <c r="K87" s="37" t="s">
        <v>73</v>
      </c>
      <c r="L87" s="34">
        <f>E168</f>
        <v>7.15</v>
      </c>
      <c r="M87" s="32"/>
      <c r="N87" s="33">
        <f t="shared" si="0"/>
        <v>12.274403462672982</v>
      </c>
      <c r="O87" s="33">
        <f t="shared" si="1"/>
        <v>54.530145469633567</v>
      </c>
      <c r="P87" s="35"/>
      <c r="R87" s="2"/>
      <c r="S87" s="2"/>
      <c r="T87" s="2"/>
      <c r="U87" s="2"/>
      <c r="V87" s="2"/>
      <c r="W87" s="2"/>
      <c r="AA87" s="2"/>
      <c r="AB87" s="2"/>
      <c r="AC87" s="2"/>
      <c r="AD87" s="2"/>
      <c r="AE87" s="2"/>
      <c r="AF87" s="2"/>
    </row>
    <row r="88" spans="2:32" x14ac:dyDescent="0.3">
      <c r="B88" s="31" t="s">
        <v>47</v>
      </c>
      <c r="C88" s="32"/>
      <c r="D88" s="33">
        <v>69.276185239246345</v>
      </c>
      <c r="E88" s="33"/>
      <c r="F88" s="32"/>
      <c r="G88" s="36"/>
      <c r="H88" s="32"/>
      <c r="I88" s="33">
        <f>E161*$D$3/1000*D88/100</f>
        <v>28.310891607768973</v>
      </c>
      <c r="J88" s="34">
        <f t="shared" si="2"/>
        <v>1.5240760752634197</v>
      </c>
      <c r="K88" s="37" t="s">
        <v>72</v>
      </c>
      <c r="L88" s="34">
        <f>E159</f>
        <v>3.95</v>
      </c>
      <c r="M88" s="32"/>
      <c r="N88" s="33">
        <f t="shared" si="0"/>
        <v>43.147952568776624</v>
      </c>
      <c r="O88" s="33">
        <f t="shared" si="1"/>
        <v>111.82802185068745</v>
      </c>
      <c r="P88" s="35"/>
      <c r="R88" s="2"/>
      <c r="S88" s="2"/>
      <c r="T88" s="2"/>
      <c r="U88" s="2"/>
      <c r="V88" s="2"/>
      <c r="W88" s="2"/>
      <c r="AA88" s="2"/>
      <c r="AB88" s="2"/>
      <c r="AC88" s="2"/>
      <c r="AD88" s="2"/>
      <c r="AE88" s="2"/>
      <c r="AF88" s="2"/>
    </row>
    <row r="89" spans="2:32" x14ac:dyDescent="0.3">
      <c r="B89" s="31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5"/>
    </row>
    <row r="90" spans="2:32" x14ac:dyDescent="0.3">
      <c r="B90" s="31"/>
      <c r="C90" s="32"/>
      <c r="D90" s="33"/>
      <c r="E90" s="33"/>
      <c r="F90" s="32"/>
      <c r="G90" s="36"/>
      <c r="H90" s="32"/>
      <c r="I90" s="32" t="s">
        <v>90</v>
      </c>
      <c r="J90" s="32"/>
      <c r="K90" s="37"/>
      <c r="L90" s="34"/>
      <c r="M90" s="32"/>
      <c r="N90" s="32" t="s">
        <v>91</v>
      </c>
      <c r="O90" s="32"/>
      <c r="P90" s="35"/>
      <c r="R90" s="2"/>
      <c r="S90" s="2"/>
      <c r="T90" s="2"/>
      <c r="U90" s="2"/>
      <c r="V90" s="2"/>
      <c r="W90" s="2"/>
      <c r="AA90" s="2"/>
      <c r="AB90" s="2"/>
      <c r="AC90" s="2"/>
      <c r="AD90" s="2"/>
      <c r="AE90" s="2"/>
      <c r="AF90" s="2"/>
    </row>
    <row r="91" spans="2:32" x14ac:dyDescent="0.3">
      <c r="B91" s="31"/>
      <c r="C91" s="32"/>
      <c r="D91" s="32"/>
      <c r="E91" s="33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5"/>
      <c r="R91" s="2"/>
      <c r="S91" s="2"/>
      <c r="T91" s="2"/>
      <c r="U91" s="2"/>
      <c r="V91" s="2"/>
      <c r="W91" s="2"/>
      <c r="AA91" s="2"/>
      <c r="AB91" s="2"/>
      <c r="AC91" s="2"/>
      <c r="AD91" s="2"/>
      <c r="AE91" s="2"/>
      <c r="AF91" s="2"/>
    </row>
    <row r="92" spans="2:32" x14ac:dyDescent="0.3">
      <c r="B92" s="31"/>
      <c r="C92" s="32"/>
      <c r="D92" s="32"/>
      <c r="E92" s="33"/>
      <c r="F92" s="32"/>
      <c r="G92" s="38" t="s">
        <v>56</v>
      </c>
      <c r="H92" s="32"/>
      <c r="I92" s="39">
        <f>SUM(I73:I88)</f>
        <v>143.55710661824648</v>
      </c>
      <c r="J92" s="40">
        <f>N92/I92</f>
        <v>1.8057340387846461</v>
      </c>
      <c r="K92" s="32"/>
      <c r="L92" s="41">
        <f>O92/I92</f>
        <v>8.9631180565175974</v>
      </c>
      <c r="M92" s="32"/>
      <c r="N92" s="33">
        <f>SUM(N73:N88)</f>
        <v>259.22595393000427</v>
      </c>
      <c r="O92" s="33">
        <f>SUM(O73:O88)</f>
        <v>1286.719294471427</v>
      </c>
      <c r="P92" s="35"/>
      <c r="R92" s="2"/>
      <c r="S92" s="2"/>
      <c r="T92" s="2"/>
      <c r="U92" s="2"/>
      <c r="V92" s="2"/>
      <c r="W92" s="2"/>
      <c r="AA92" s="2"/>
      <c r="AB92" s="2"/>
      <c r="AC92" s="2"/>
      <c r="AD92" s="2"/>
      <c r="AE92" s="2"/>
      <c r="AF92" s="2"/>
    </row>
    <row r="93" spans="2:32" x14ac:dyDescent="0.3">
      <c r="B93" s="31"/>
      <c r="C93" s="32"/>
      <c r="D93" s="32"/>
      <c r="E93" s="32"/>
      <c r="F93" s="32"/>
      <c r="G93" s="38" t="s">
        <v>57</v>
      </c>
      <c r="H93" s="32"/>
      <c r="I93" s="39">
        <f>D37</f>
        <v>122.73534909136433</v>
      </c>
      <c r="J93" s="32"/>
      <c r="K93" s="32"/>
      <c r="L93" s="32"/>
      <c r="M93" s="32"/>
      <c r="N93" s="32"/>
      <c r="O93" s="32"/>
      <c r="P93" s="35"/>
      <c r="R93" s="2"/>
      <c r="S93" s="2"/>
      <c r="T93" s="2"/>
      <c r="U93" s="2"/>
      <c r="V93" s="2"/>
      <c r="W93" s="2"/>
      <c r="AA93" s="2"/>
      <c r="AB93" s="2"/>
      <c r="AC93" s="2"/>
      <c r="AD93" s="2"/>
      <c r="AE93" s="2"/>
      <c r="AF93" s="2"/>
    </row>
    <row r="94" spans="2:32" x14ac:dyDescent="0.3">
      <c r="B94" s="31"/>
      <c r="C94" s="32"/>
      <c r="D94" s="32"/>
      <c r="E94" s="32"/>
      <c r="F94" s="32"/>
      <c r="G94" s="38" t="s">
        <v>88</v>
      </c>
      <c r="H94" s="32"/>
      <c r="I94" s="32"/>
      <c r="J94" s="38">
        <f>D22+D24</f>
        <v>2.2000000000000002</v>
      </c>
      <c r="K94" s="32"/>
      <c r="L94" s="32"/>
      <c r="M94" s="32"/>
      <c r="N94" s="32"/>
      <c r="O94" s="32"/>
      <c r="P94" s="35"/>
    </row>
    <row r="95" spans="2:32" ht="19.5" thickBot="1" x14ac:dyDescent="0.35">
      <c r="B95" s="42"/>
      <c r="C95" s="43"/>
      <c r="D95" s="43"/>
      <c r="E95" s="43"/>
      <c r="F95" s="43"/>
      <c r="G95" s="44" t="s">
        <v>89</v>
      </c>
      <c r="H95" s="43"/>
      <c r="I95" s="43"/>
      <c r="J95" s="43"/>
      <c r="K95" s="43"/>
      <c r="L95" s="44">
        <f>D25/2</f>
        <v>8.9699999999999989</v>
      </c>
      <c r="M95" s="43"/>
      <c r="N95" s="43"/>
      <c r="O95" s="43"/>
      <c r="P95" s="45"/>
    </row>
    <row r="96" spans="2:32" x14ac:dyDescent="0.3">
      <c r="D96" s="11"/>
    </row>
    <row r="97" spans="1:15" x14ac:dyDescent="0.3">
      <c r="H97" s="3"/>
      <c r="M97" s="1" t="s">
        <v>197</v>
      </c>
      <c r="N97" s="1" t="s">
        <v>198</v>
      </c>
    </row>
    <row r="98" spans="1:15" x14ac:dyDescent="0.3">
      <c r="E98" s="1" t="s">
        <v>92</v>
      </c>
      <c r="H98" s="46">
        <f>ATAN((D25/2-L92)/(J94-J92))*180/PI()</f>
        <v>1.0000008034478562</v>
      </c>
      <c r="I98" s="47" t="s">
        <v>54</v>
      </c>
      <c r="M98" s="21">
        <f>D25/2</f>
        <v>8.9699999999999989</v>
      </c>
      <c r="N98" s="21">
        <f>L92</f>
        <v>8.9631180565175974</v>
      </c>
    </row>
    <row r="99" spans="1:15" x14ac:dyDescent="0.3">
      <c r="L99" s="1" t="s">
        <v>199</v>
      </c>
      <c r="M99" s="21">
        <f>J94</f>
        <v>2.2000000000000002</v>
      </c>
      <c r="N99" s="21">
        <f>J92</f>
        <v>1.8057340387846461</v>
      </c>
    </row>
    <row r="100" spans="1:15" x14ac:dyDescent="0.3">
      <c r="L100" s="3"/>
      <c r="M100" s="1" t="s">
        <v>200</v>
      </c>
      <c r="N100" s="3">
        <f>M99-N99</f>
        <v>0.39426596121535407</v>
      </c>
    </row>
    <row r="101" spans="1:15" x14ac:dyDescent="0.3">
      <c r="M101" s="1" t="s">
        <v>201</v>
      </c>
      <c r="N101" s="3">
        <f>N98-M98</f>
        <v>-6.8819434824014536E-3</v>
      </c>
    </row>
    <row r="102" spans="1:15" x14ac:dyDescent="0.3">
      <c r="A102" s="48">
        <v>11</v>
      </c>
      <c r="B102" s="24" t="s">
        <v>94</v>
      </c>
    </row>
    <row r="103" spans="1:15" x14ac:dyDescent="0.3">
      <c r="L103" s="1" t="s">
        <v>213</v>
      </c>
      <c r="N103" s="2">
        <f>ATAN(N101/N100)*180/PI()</f>
        <v>-1.0000008034478562</v>
      </c>
      <c r="O103" s="1" t="s">
        <v>54</v>
      </c>
    </row>
    <row r="104" spans="1:15" x14ac:dyDescent="0.3">
      <c r="B104" s="1" t="s">
        <v>39</v>
      </c>
      <c r="E104" s="1" t="s">
        <v>212</v>
      </c>
      <c r="F104" s="25">
        <v>95</v>
      </c>
      <c r="G104" s="4">
        <f>F104/100*2*D22</f>
        <v>2.8499999999999996</v>
      </c>
      <c r="H104" s="1" t="s">
        <v>0</v>
      </c>
    </row>
    <row r="106" spans="1:15" x14ac:dyDescent="0.3">
      <c r="B106" s="6" t="s">
        <v>53</v>
      </c>
      <c r="G106" s="5">
        <f>MAX(0,SIGN(2*D22-G104))*D21+2*SQRT(MAX(0, D22^2-(D22-G104)^2))</f>
        <v>16.247669683062202</v>
      </c>
      <c r="H106" s="1" t="s">
        <v>0</v>
      </c>
    </row>
    <row r="107" spans="1:15" x14ac:dyDescent="0.3">
      <c r="B107" s="1" t="s">
        <v>43</v>
      </c>
      <c r="G107" s="5">
        <f>2*SQRT(MAX(0,D22^2-(D22-G104)^2))</f>
        <v>1.3076696830622034</v>
      </c>
      <c r="H107" s="1" t="s">
        <v>0</v>
      </c>
    </row>
    <row r="108" spans="1:15" x14ac:dyDescent="0.3">
      <c r="B108" s="1" t="s">
        <v>44</v>
      </c>
      <c r="G108" s="3">
        <f>(D22^2*(PI()-ACOS(MIN(1, (G104-D22)/D22)))+(G104-D22)*G107/2)*D21</f>
        <v>103.63056569073029</v>
      </c>
      <c r="H108" s="1" t="s">
        <v>14</v>
      </c>
    </row>
    <row r="109" spans="1:15" x14ac:dyDescent="0.3">
      <c r="B109" s="1" t="s">
        <v>45</v>
      </c>
      <c r="G109" s="3">
        <f>PI()/3*(4*D22^3-MAX(0, 2*D22-G104)^2*(D22+G104))</f>
        <v>14.0346724808307</v>
      </c>
      <c r="H109" s="1" t="s">
        <v>14</v>
      </c>
    </row>
    <row r="110" spans="1:15" x14ac:dyDescent="0.3">
      <c r="B110" s="1" t="s">
        <v>58</v>
      </c>
      <c r="G110" s="3">
        <f>G108+G109</f>
        <v>117.66523817156099</v>
      </c>
      <c r="H110" s="1" t="s">
        <v>14</v>
      </c>
    </row>
    <row r="111" spans="1:15" x14ac:dyDescent="0.3">
      <c r="B111" s="1" t="s">
        <v>41</v>
      </c>
      <c r="G111" s="3">
        <f>G112+G113-J92</f>
        <v>2.6469043329706388</v>
      </c>
      <c r="H111" s="1" t="s">
        <v>0</v>
      </c>
    </row>
    <row r="112" spans="1:15" x14ac:dyDescent="0.3">
      <c r="B112" s="1" t="s">
        <v>42</v>
      </c>
      <c r="G112" s="3">
        <f>G106*G107^3/12</f>
        <v>3.0276383717552844</v>
      </c>
      <c r="H112" s="1" t="s">
        <v>0</v>
      </c>
    </row>
    <row r="113" spans="1:15" x14ac:dyDescent="0.3">
      <c r="B113" s="1" t="s">
        <v>93</v>
      </c>
      <c r="G113" s="1">
        <f>G104/2</f>
        <v>1.4249999999999998</v>
      </c>
      <c r="H113" s="1" t="s">
        <v>0</v>
      </c>
    </row>
    <row r="114" spans="1:15" x14ac:dyDescent="0.3">
      <c r="J114" s="1" t="s">
        <v>214</v>
      </c>
    </row>
    <row r="115" spans="1:15" x14ac:dyDescent="0.3">
      <c r="L115" s="22">
        <v>5</v>
      </c>
      <c r="M115" s="1">
        <v>10</v>
      </c>
      <c r="N115" s="1">
        <v>30</v>
      </c>
      <c r="O115" s="1">
        <v>50</v>
      </c>
    </row>
    <row r="116" spans="1:15" x14ac:dyDescent="0.3">
      <c r="A116" s="48">
        <v>12</v>
      </c>
      <c r="B116" s="12" t="s">
        <v>87</v>
      </c>
      <c r="I116" s="1" t="s">
        <v>179</v>
      </c>
      <c r="J116" s="14">
        <v>94.458960845197964</v>
      </c>
      <c r="K116" s="14"/>
      <c r="L116" s="14">
        <v>93.579673607296726</v>
      </c>
      <c r="M116" s="14">
        <v>85.393174062380226</v>
      </c>
      <c r="N116" s="14">
        <v>53.744405434055828</v>
      </c>
      <c r="O116" s="14">
        <v>28.682944670571846</v>
      </c>
    </row>
    <row r="117" spans="1:15" x14ac:dyDescent="0.3">
      <c r="I117" s="1" t="s">
        <v>178</v>
      </c>
      <c r="J117" s="14">
        <v>79.619001484299844</v>
      </c>
      <c r="K117" s="14"/>
      <c r="L117" s="14">
        <v>79.264684166386289</v>
      </c>
      <c r="M117" s="14">
        <v>81.223778330445938</v>
      </c>
      <c r="N117" s="14">
        <v>88.797265123358287</v>
      </c>
      <c r="O117" s="14">
        <v>94.794422369265192</v>
      </c>
    </row>
    <row r="118" spans="1:15" x14ac:dyDescent="0.3">
      <c r="B118" s="12" t="s">
        <v>52</v>
      </c>
      <c r="G118" s="1" t="s">
        <v>106</v>
      </c>
      <c r="I118" s="1" t="s">
        <v>177</v>
      </c>
      <c r="J118" s="14">
        <v>100</v>
      </c>
      <c r="K118" s="14"/>
      <c r="L118" s="14">
        <v>100</v>
      </c>
      <c r="M118" s="14">
        <v>100</v>
      </c>
      <c r="N118" s="14">
        <v>100</v>
      </c>
      <c r="O118" s="14">
        <v>100</v>
      </c>
    </row>
    <row r="119" spans="1:15" x14ac:dyDescent="0.3">
      <c r="B119" s="1" t="s">
        <v>165</v>
      </c>
      <c r="C119" s="1" t="s">
        <v>49</v>
      </c>
      <c r="D119" s="2">
        <v>0.41170000000000001</v>
      </c>
      <c r="E119" s="50">
        <f>2.5+D9*0.8</f>
        <v>4.9000000000000004</v>
      </c>
      <c r="F119" s="1" t="s">
        <v>0</v>
      </c>
      <c r="G119" s="1">
        <v>4.0999999999999996</v>
      </c>
      <c r="H119" s="1" t="s">
        <v>0</v>
      </c>
      <c r="I119" s="1" t="s">
        <v>48</v>
      </c>
      <c r="J119" s="14">
        <v>100</v>
      </c>
      <c r="K119" s="14"/>
      <c r="L119" s="14">
        <v>100</v>
      </c>
      <c r="M119" s="14">
        <v>100</v>
      </c>
      <c r="N119" s="14">
        <v>100</v>
      </c>
      <c r="O119" s="14">
        <v>100</v>
      </c>
    </row>
    <row r="120" spans="1:15" x14ac:dyDescent="0.3">
      <c r="B120" s="1" t="s">
        <v>166</v>
      </c>
      <c r="C120" s="1" t="s">
        <v>49</v>
      </c>
      <c r="D120" s="2">
        <v>0.22</v>
      </c>
      <c r="E120" s="2">
        <v>1.5</v>
      </c>
      <c r="F120" s="1" t="s">
        <v>0</v>
      </c>
      <c r="I120" s="1" t="s">
        <v>47</v>
      </c>
      <c r="J120" s="14">
        <v>99.309918018647707</v>
      </c>
      <c r="K120" s="14"/>
      <c r="L120" s="14">
        <v>100.00009930991801</v>
      </c>
      <c r="M120" s="14">
        <v>100</v>
      </c>
      <c r="N120" s="14">
        <v>100</v>
      </c>
      <c r="O120" s="14">
        <v>100</v>
      </c>
    </row>
    <row r="121" spans="1:15" x14ac:dyDescent="0.3">
      <c r="B121" s="1" t="s">
        <v>167</v>
      </c>
      <c r="C121" s="1" t="s">
        <v>49</v>
      </c>
      <c r="D121" s="2">
        <v>0.22</v>
      </c>
      <c r="E121" s="18">
        <f>D143</f>
        <v>1.5717581238916385</v>
      </c>
      <c r="F121" s="1" t="s">
        <v>0</v>
      </c>
    </row>
    <row r="122" spans="1:15" x14ac:dyDescent="0.3">
      <c r="B122" s="1" t="s">
        <v>157</v>
      </c>
      <c r="C122" s="1" t="s">
        <v>49</v>
      </c>
      <c r="D122" s="2">
        <v>0.22</v>
      </c>
      <c r="E122" s="18">
        <f>(15.385*E62+3692.3)/1000</f>
        <v>5.9678365680352581</v>
      </c>
      <c r="F122" s="1" t="s">
        <v>0</v>
      </c>
      <c r="J122" s="1">
        <v>-1</v>
      </c>
      <c r="L122" s="22">
        <v>-5</v>
      </c>
      <c r="M122" s="1">
        <v>-10</v>
      </c>
      <c r="N122" s="1">
        <v>-30</v>
      </c>
      <c r="O122" s="1">
        <v>-50</v>
      </c>
    </row>
    <row r="123" spans="1:15" x14ac:dyDescent="0.3">
      <c r="B123" s="1" t="s">
        <v>168</v>
      </c>
      <c r="C123" s="1" t="s">
        <v>49</v>
      </c>
      <c r="D123" s="2">
        <v>0.22</v>
      </c>
      <c r="E123" s="2">
        <v>1</v>
      </c>
      <c r="F123" s="1" t="s">
        <v>0</v>
      </c>
      <c r="I123" s="1" t="s">
        <v>179</v>
      </c>
      <c r="J123" s="14">
        <v>36.085473002271172</v>
      </c>
      <c r="K123" s="14"/>
      <c r="L123" s="14">
        <v>37.581753485663079</v>
      </c>
      <c r="M123" s="14">
        <v>39.56494460269468</v>
      </c>
      <c r="N123" s="14">
        <v>49.642594105236398</v>
      </c>
      <c r="O123" s="14">
        <v>67.34340040956603</v>
      </c>
    </row>
    <row r="124" spans="1:15" x14ac:dyDescent="0.3">
      <c r="D124" s="2"/>
      <c r="E124" s="2">
        <f>SUM(E119:E123)</f>
        <v>14.939594691926896</v>
      </c>
      <c r="I124" s="1" t="s">
        <v>178</v>
      </c>
      <c r="J124" s="14">
        <v>100</v>
      </c>
      <c r="K124" s="14"/>
      <c r="L124" s="14">
        <v>100</v>
      </c>
      <c r="M124" s="14">
        <v>100</v>
      </c>
      <c r="N124" s="14">
        <v>100</v>
      </c>
      <c r="O124" s="14">
        <v>100</v>
      </c>
    </row>
    <row r="125" spans="1:15" x14ac:dyDescent="0.3">
      <c r="D125" s="2"/>
      <c r="E125" s="2"/>
      <c r="I125" s="1" t="s">
        <v>177</v>
      </c>
      <c r="J125" s="14">
        <v>100</v>
      </c>
      <c r="K125" s="14"/>
      <c r="L125" s="14">
        <v>100</v>
      </c>
      <c r="M125" s="14">
        <v>100</v>
      </c>
      <c r="N125" s="14">
        <v>100</v>
      </c>
      <c r="O125" s="14">
        <v>100</v>
      </c>
    </row>
    <row r="126" spans="1:15" x14ac:dyDescent="0.3">
      <c r="D126" s="2"/>
      <c r="E126" s="2"/>
      <c r="I126" s="1" t="s">
        <v>48</v>
      </c>
      <c r="J126" s="14">
        <v>100</v>
      </c>
      <c r="K126" s="14"/>
      <c r="L126" s="14">
        <v>100</v>
      </c>
      <c r="M126" s="14">
        <v>100</v>
      </c>
      <c r="N126" s="14">
        <v>100</v>
      </c>
      <c r="O126" s="14">
        <v>100</v>
      </c>
    </row>
    <row r="127" spans="1:15" x14ac:dyDescent="0.3">
      <c r="E127" s="2"/>
      <c r="I127" s="1" t="s">
        <v>47</v>
      </c>
      <c r="J127" s="14">
        <v>91.473102063060566</v>
      </c>
      <c r="K127" s="14"/>
      <c r="L127" s="14">
        <v>91.035504225212136</v>
      </c>
      <c r="M127" s="14">
        <v>90.455505919756675</v>
      </c>
      <c r="N127" s="14">
        <v>87.508225859731681</v>
      </c>
      <c r="O127" s="14">
        <v>82.331499535408255</v>
      </c>
    </row>
    <row r="129" spans="1:9" x14ac:dyDescent="0.3">
      <c r="A129" s="48">
        <v>13</v>
      </c>
      <c r="B129" s="24" t="s">
        <v>113</v>
      </c>
      <c r="E129" s="2"/>
    </row>
    <row r="130" spans="1:9" x14ac:dyDescent="0.3">
      <c r="B130" s="1" t="s">
        <v>114</v>
      </c>
      <c r="E130" s="2"/>
      <c r="H130" s="1" t="s">
        <v>162</v>
      </c>
      <c r="I130" s="1" t="s">
        <v>163</v>
      </c>
    </row>
    <row r="131" spans="1:9" x14ac:dyDescent="0.3">
      <c r="E131" s="2"/>
      <c r="H131" s="1">
        <v>20</v>
      </c>
      <c r="I131" s="1">
        <v>150</v>
      </c>
    </row>
    <row r="132" spans="1:9" x14ac:dyDescent="0.3">
      <c r="B132" s="1" t="s">
        <v>121</v>
      </c>
      <c r="E132" s="2"/>
      <c r="F132" s="1" t="s">
        <v>158</v>
      </c>
      <c r="G132" s="1">
        <v>1950</v>
      </c>
      <c r="H132" s="1">
        <v>4000</v>
      </c>
      <c r="I132" s="1">
        <v>6000</v>
      </c>
    </row>
    <row r="133" spans="1:9" x14ac:dyDescent="0.3">
      <c r="B133" s="1" t="s">
        <v>123</v>
      </c>
      <c r="C133" s="16">
        <f>D10</f>
        <v>30</v>
      </c>
      <c r="D133" s="1" t="s">
        <v>122</v>
      </c>
      <c r="E133" s="2"/>
      <c r="F133" s="1" t="s">
        <v>159</v>
      </c>
      <c r="G133" s="1">
        <v>1435</v>
      </c>
      <c r="H133" s="1">
        <f>G133</f>
        <v>1435</v>
      </c>
      <c r="I133" s="1">
        <f>H133</f>
        <v>1435</v>
      </c>
    </row>
    <row r="134" spans="1:9" x14ac:dyDescent="0.3">
      <c r="B134" s="1" t="s">
        <v>124</v>
      </c>
      <c r="C134" s="16">
        <f t="shared" ref="C134:C135" si="3">D11</f>
        <v>500</v>
      </c>
      <c r="D134" s="1" t="s">
        <v>125</v>
      </c>
      <c r="E134" s="2"/>
      <c r="F134" s="1" t="s">
        <v>160</v>
      </c>
      <c r="G134" s="1">
        <v>2340</v>
      </c>
      <c r="H134" s="1">
        <f>G134</f>
        <v>2340</v>
      </c>
      <c r="I134" s="1">
        <f>H134</f>
        <v>2340</v>
      </c>
    </row>
    <row r="135" spans="1:9" x14ac:dyDescent="0.3">
      <c r="B135" s="1" t="s">
        <v>191</v>
      </c>
      <c r="C135" s="16">
        <f t="shared" si="3"/>
        <v>2</v>
      </c>
      <c r="D135" s="1" t="s">
        <v>122</v>
      </c>
      <c r="E135" s="2"/>
      <c r="F135" s="1" t="s">
        <v>161</v>
      </c>
      <c r="G135" s="2">
        <f>G132*G133*G134/1000000000</f>
        <v>6.5479050000000001</v>
      </c>
      <c r="H135" s="2">
        <f>H132*H133*H134/1000000000</f>
        <v>13.4316</v>
      </c>
      <c r="I135" s="2">
        <f>I132*I133*I134/1000000000</f>
        <v>20.147400000000001</v>
      </c>
    </row>
    <row r="136" spans="1:9" x14ac:dyDescent="0.3">
      <c r="E136" s="2"/>
      <c r="F136" s="1" t="s">
        <v>164</v>
      </c>
      <c r="G136" s="2"/>
    </row>
    <row r="137" spans="1:9" x14ac:dyDescent="0.3">
      <c r="E137" s="2"/>
      <c r="G137" s="2"/>
    </row>
    <row r="138" spans="1:9" x14ac:dyDescent="0.3">
      <c r="E138" s="2"/>
    </row>
    <row r="139" spans="1:9" x14ac:dyDescent="0.3">
      <c r="A139" s="48">
        <v>14</v>
      </c>
      <c r="B139" s="24" t="s">
        <v>115</v>
      </c>
      <c r="E139" s="1" t="s">
        <v>120</v>
      </c>
      <c r="F139" s="2" t="s">
        <v>126</v>
      </c>
      <c r="G139" s="1" t="s">
        <v>154</v>
      </c>
      <c r="H139" s="2">
        <f>E62</f>
        <v>147.9061792678101</v>
      </c>
    </row>
    <row r="140" spans="1:9" x14ac:dyDescent="0.3">
      <c r="B140" s="1" t="s">
        <v>116</v>
      </c>
      <c r="C140" s="1">
        <v>0.8</v>
      </c>
      <c r="D140" s="1" t="s">
        <v>117</v>
      </c>
      <c r="E140" s="2">
        <v>789</v>
      </c>
      <c r="F140" s="3">
        <f>C140*C133*$H$139/1000</f>
        <v>3.5497483024274423</v>
      </c>
      <c r="G140" s="3">
        <f>F140/(E140/1000)</f>
        <v>4.499047278108292</v>
      </c>
    </row>
    <row r="141" spans="1:9" x14ac:dyDescent="0.3">
      <c r="B141" s="1" t="s">
        <v>118</v>
      </c>
      <c r="C141" s="1">
        <v>1.7</v>
      </c>
      <c r="D141" s="1" t="s">
        <v>117</v>
      </c>
      <c r="E141" s="2">
        <v>1141</v>
      </c>
      <c r="F141" s="3">
        <f>C141*C133*$H$139/1000</f>
        <v>7.5432151426583154</v>
      </c>
      <c r="G141" s="3">
        <f>F141/(E141/1000)</f>
        <v>6.6110562161773139</v>
      </c>
    </row>
    <row r="142" spans="1:9" x14ac:dyDescent="0.3">
      <c r="E142" s="2" t="s">
        <v>155</v>
      </c>
      <c r="F142" s="3">
        <f>F140+F141</f>
        <v>11.092963445085758</v>
      </c>
      <c r="G142" s="3">
        <f>G140+G141</f>
        <v>11.110103494285607</v>
      </c>
    </row>
    <row r="143" spans="1:9" x14ac:dyDescent="0.3">
      <c r="B143" s="1" t="s">
        <v>156</v>
      </c>
      <c r="D143" s="3">
        <f>G142/(D22^2*PI())</f>
        <v>1.5717581238916385</v>
      </c>
      <c r="E143" s="2"/>
    </row>
    <row r="144" spans="1:9" x14ac:dyDescent="0.3">
      <c r="E144" s="2"/>
    </row>
    <row r="145" spans="1:6" x14ac:dyDescent="0.3">
      <c r="E145" s="2"/>
    </row>
    <row r="146" spans="1:6" x14ac:dyDescent="0.3">
      <c r="A146" s="48">
        <v>15</v>
      </c>
      <c r="B146" s="24" t="s">
        <v>100</v>
      </c>
    </row>
    <row r="147" spans="1:6" x14ac:dyDescent="0.3">
      <c r="B147" s="1" t="s">
        <v>103</v>
      </c>
    </row>
    <row r="148" spans="1:6" x14ac:dyDescent="0.3">
      <c r="B148" s="1" t="s">
        <v>119</v>
      </c>
      <c r="E148" s="1">
        <f>15/150</f>
        <v>0.1</v>
      </c>
      <c r="F148" s="1" t="s">
        <v>101</v>
      </c>
    </row>
    <row r="151" spans="1:6" s="23" customFormat="1" x14ac:dyDescent="0.3">
      <c r="A151" s="49"/>
      <c r="B151" s="23" t="s">
        <v>202</v>
      </c>
      <c r="E151" s="23">
        <v>0.4</v>
      </c>
      <c r="F151" s="23" t="s">
        <v>102</v>
      </c>
    </row>
    <row r="155" spans="1:6" x14ac:dyDescent="0.3">
      <c r="A155" s="48">
        <v>16</v>
      </c>
      <c r="B155" s="12" t="s">
        <v>176</v>
      </c>
    </row>
    <row r="156" spans="1:6" x14ac:dyDescent="0.3">
      <c r="B156" s="1" t="s">
        <v>95</v>
      </c>
      <c r="E156" s="1">
        <v>0</v>
      </c>
      <c r="F156" s="1" t="s">
        <v>54</v>
      </c>
    </row>
    <row r="157" spans="1:6" x14ac:dyDescent="0.3">
      <c r="B157" s="1" t="s">
        <v>96</v>
      </c>
      <c r="E157" s="1">
        <v>0</v>
      </c>
      <c r="F157" s="1" t="s">
        <v>54</v>
      </c>
    </row>
    <row r="158" spans="1:6" x14ac:dyDescent="0.3">
      <c r="B158" s="1" t="s">
        <v>97</v>
      </c>
      <c r="E158" s="47">
        <f>D23</f>
        <v>2.2000000000000002</v>
      </c>
      <c r="F158" s="1" t="s">
        <v>0</v>
      </c>
    </row>
    <row r="159" spans="1:6" x14ac:dyDescent="0.3">
      <c r="B159" s="1" t="s">
        <v>98</v>
      </c>
      <c r="C159" s="1" t="s">
        <v>65</v>
      </c>
      <c r="E159" s="3">
        <f>D22+E119/2</f>
        <v>3.95</v>
      </c>
      <c r="F159" s="1" t="s">
        <v>0</v>
      </c>
    </row>
    <row r="160" spans="1:6" x14ac:dyDescent="0.3">
      <c r="B160" s="17" t="s">
        <v>152</v>
      </c>
      <c r="C160" s="1" t="s">
        <v>64</v>
      </c>
      <c r="E160" s="2">
        <f>D22^2*PI()*E119</f>
        <v>34.63605900582747</v>
      </c>
      <c r="F160" s="1" t="s">
        <v>14</v>
      </c>
    </row>
    <row r="161" spans="2:7" x14ac:dyDescent="0.3">
      <c r="B161" s="17" t="s">
        <v>153</v>
      </c>
      <c r="C161" s="8" t="s">
        <v>63</v>
      </c>
      <c r="E161" s="2">
        <f>PI()*(360-E156-E157)/360*-(D22^2-E158^2)*E119</f>
        <v>39.869952366708077</v>
      </c>
      <c r="F161" s="1" t="s">
        <v>14</v>
      </c>
      <c r="G161" s="2">
        <f>E161+E170+E179+E188+E197</f>
        <v>119.52519197007615</v>
      </c>
    </row>
    <row r="162" spans="2:7" x14ac:dyDescent="0.3">
      <c r="B162" s="17"/>
      <c r="C162" s="7"/>
      <c r="E162" s="2"/>
    </row>
    <row r="164" spans="2:7" x14ac:dyDescent="0.3">
      <c r="B164" s="12" t="s">
        <v>175</v>
      </c>
    </row>
    <row r="165" spans="2:7" x14ac:dyDescent="0.3">
      <c r="B165" s="1" t="s">
        <v>46</v>
      </c>
      <c r="E165" s="1">
        <v>30</v>
      </c>
      <c r="F165" s="1" t="s">
        <v>54</v>
      </c>
    </row>
    <row r="166" spans="2:7" x14ac:dyDescent="0.3">
      <c r="B166" s="1" t="s">
        <v>50</v>
      </c>
      <c r="E166" s="1">
        <v>30</v>
      </c>
      <c r="F166" s="1" t="s">
        <v>54</v>
      </c>
    </row>
    <row r="167" spans="2:7" x14ac:dyDescent="0.3">
      <c r="B167" s="1" t="s">
        <v>51</v>
      </c>
      <c r="E167" s="47">
        <f>D23</f>
        <v>2.2000000000000002</v>
      </c>
      <c r="F167" s="1" t="s">
        <v>0</v>
      </c>
    </row>
    <row r="168" spans="2:7" x14ac:dyDescent="0.3">
      <c r="B168" s="1" t="s">
        <v>66</v>
      </c>
      <c r="C168" s="1" t="s">
        <v>67</v>
      </c>
      <c r="E168" s="3">
        <f>D22+E119+E120/2</f>
        <v>7.15</v>
      </c>
      <c r="F168" s="1" t="s">
        <v>0</v>
      </c>
    </row>
    <row r="169" spans="2:7" x14ac:dyDescent="0.3">
      <c r="B169" s="17" t="s">
        <v>107</v>
      </c>
      <c r="C169" s="1" t="s">
        <v>68</v>
      </c>
      <c r="E169" s="2">
        <f>D22^2*PI()*E120</f>
        <v>10.602875205865551</v>
      </c>
      <c r="F169" s="1" t="s">
        <v>14</v>
      </c>
    </row>
    <row r="170" spans="2:7" x14ac:dyDescent="0.3">
      <c r="B170" s="17" t="s">
        <v>108</v>
      </c>
      <c r="C170" s="8" t="s">
        <v>69</v>
      </c>
      <c r="E170" s="2">
        <f>PI()*(360-E165-E166)/360*-(D22^2-E167^2)*E120</f>
        <v>10.170906215996958</v>
      </c>
      <c r="F170" s="1" t="s">
        <v>14</v>
      </c>
    </row>
    <row r="171" spans="2:7" x14ac:dyDescent="0.3">
      <c r="B171" s="17"/>
      <c r="C171" s="7"/>
      <c r="E171" s="2"/>
    </row>
    <row r="173" spans="2:7" x14ac:dyDescent="0.3">
      <c r="B173" s="12" t="s">
        <v>127</v>
      </c>
    </row>
    <row r="174" spans="2:7" x14ac:dyDescent="0.3">
      <c r="B174" s="1" t="s">
        <v>129</v>
      </c>
      <c r="E174" s="1">
        <v>0</v>
      </c>
      <c r="F174" s="1" t="s">
        <v>54</v>
      </c>
    </row>
    <row r="175" spans="2:7" x14ac:dyDescent="0.3">
      <c r="B175" s="1" t="s">
        <v>130</v>
      </c>
      <c r="E175" s="1">
        <v>0</v>
      </c>
      <c r="F175" s="1" t="s">
        <v>54</v>
      </c>
    </row>
    <row r="176" spans="2:7" x14ac:dyDescent="0.3">
      <c r="B176" s="1" t="s">
        <v>128</v>
      </c>
      <c r="E176" s="47">
        <f>D23</f>
        <v>2.2000000000000002</v>
      </c>
      <c r="F176" s="1" t="s">
        <v>0</v>
      </c>
    </row>
    <row r="177" spans="2:6" x14ac:dyDescent="0.3">
      <c r="B177" s="1" t="s">
        <v>131</v>
      </c>
      <c r="C177" s="1" t="s">
        <v>109</v>
      </c>
      <c r="E177" s="3">
        <f>D22+E119+E120+E121/2</f>
        <v>8.685879061945819</v>
      </c>
      <c r="F177" s="1" t="s">
        <v>0</v>
      </c>
    </row>
    <row r="178" spans="2:6" x14ac:dyDescent="0.3">
      <c r="B178" s="17" t="s">
        <v>141</v>
      </c>
      <c r="C178" s="1" t="s">
        <v>111</v>
      </c>
      <c r="E178" s="2">
        <f>D22^2*PI()*E121</f>
        <v>11.110103494285607</v>
      </c>
      <c r="F178" s="1" t="s">
        <v>14</v>
      </c>
    </row>
    <row r="179" spans="2:6" x14ac:dyDescent="0.3">
      <c r="B179" s="17" t="s">
        <v>142</v>
      </c>
      <c r="C179" s="8" t="s">
        <v>149</v>
      </c>
      <c r="E179" s="2">
        <f>PI()*(360-E174-E175)/360*-(D22^2-E176^2)*E121</f>
        <v>12.788963577866546</v>
      </c>
      <c r="F179" s="1" t="s">
        <v>14</v>
      </c>
    </row>
    <row r="180" spans="2:6" x14ac:dyDescent="0.3">
      <c r="B180" s="17"/>
      <c r="C180" s="7"/>
      <c r="E180" s="2"/>
    </row>
    <row r="182" spans="2:6" x14ac:dyDescent="0.3">
      <c r="B182" s="12" t="s">
        <v>132</v>
      </c>
    </row>
    <row r="183" spans="2:6" x14ac:dyDescent="0.3">
      <c r="B183" s="1" t="s">
        <v>133</v>
      </c>
      <c r="E183" s="1">
        <v>0</v>
      </c>
      <c r="F183" s="1" t="s">
        <v>54</v>
      </c>
    </row>
    <row r="184" spans="2:6" x14ac:dyDescent="0.3">
      <c r="B184" s="1" t="s">
        <v>134</v>
      </c>
      <c r="E184" s="1">
        <v>0</v>
      </c>
      <c r="F184" s="1" t="s">
        <v>54</v>
      </c>
    </row>
    <row r="185" spans="2:6" x14ac:dyDescent="0.3">
      <c r="B185" s="1" t="s">
        <v>135</v>
      </c>
      <c r="E185" s="47">
        <f>D23</f>
        <v>2.2000000000000002</v>
      </c>
      <c r="F185" s="1" t="s">
        <v>0</v>
      </c>
    </row>
    <row r="186" spans="2:6" x14ac:dyDescent="0.3">
      <c r="B186" s="1" t="s">
        <v>136</v>
      </c>
      <c r="C186" s="1" t="s">
        <v>137</v>
      </c>
      <c r="E186" s="3">
        <f>D22+E119+E120+E121+E122/2</f>
        <v>12.455676407909269</v>
      </c>
      <c r="F186" s="1" t="s">
        <v>0</v>
      </c>
    </row>
    <row r="187" spans="2:6" x14ac:dyDescent="0.3">
      <c r="B187" s="17" t="s">
        <v>138</v>
      </c>
      <c r="C187" s="1" t="s">
        <v>139</v>
      </c>
      <c r="E187" s="2">
        <f>D22^2*PI()*E122</f>
        <v>42.184150919919205</v>
      </c>
      <c r="F187" s="1" t="s">
        <v>14</v>
      </c>
    </row>
    <row r="188" spans="2:6" x14ac:dyDescent="0.3">
      <c r="B188" s="17" t="s">
        <v>140</v>
      </c>
      <c r="C188" s="8" t="s">
        <v>150</v>
      </c>
      <c r="E188" s="2">
        <f>PI()*(360-E183-E184)/360*-(D22^2-E185^2)*E122</f>
        <v>48.558644836707003</v>
      </c>
      <c r="F188" s="1" t="s">
        <v>14</v>
      </c>
    </row>
    <row r="189" spans="2:6" x14ac:dyDescent="0.3">
      <c r="B189" s="17"/>
      <c r="C189" s="7"/>
      <c r="E189" s="2"/>
    </row>
    <row r="191" spans="2:6" x14ac:dyDescent="0.3">
      <c r="B191" s="12" t="s">
        <v>143</v>
      </c>
    </row>
    <row r="192" spans="2:6" x14ac:dyDescent="0.3">
      <c r="B192" s="1" t="s">
        <v>173</v>
      </c>
      <c r="E192" s="1">
        <v>0</v>
      </c>
      <c r="F192" s="1" t="s">
        <v>54</v>
      </c>
    </row>
    <row r="193" spans="2:6" x14ac:dyDescent="0.3">
      <c r="B193" s="1" t="s">
        <v>144</v>
      </c>
      <c r="E193" s="1">
        <v>0</v>
      </c>
      <c r="F193" s="1" t="s">
        <v>54</v>
      </c>
    </row>
    <row r="194" spans="2:6" x14ac:dyDescent="0.3">
      <c r="B194" s="1" t="s">
        <v>145</v>
      </c>
      <c r="E194" s="47">
        <f>D23</f>
        <v>2.2000000000000002</v>
      </c>
      <c r="F194" s="1" t="s">
        <v>0</v>
      </c>
    </row>
    <row r="195" spans="2:6" x14ac:dyDescent="0.3">
      <c r="B195" s="1" t="s">
        <v>146</v>
      </c>
      <c r="C195" s="1" t="s">
        <v>110</v>
      </c>
      <c r="E195" s="3">
        <f>D22+E119+E120+E121+E122+E123/2</f>
        <v>15.939594691926898</v>
      </c>
      <c r="F195" s="1" t="s">
        <v>0</v>
      </c>
    </row>
    <row r="196" spans="2:6" x14ac:dyDescent="0.3">
      <c r="B196" s="17" t="s">
        <v>147</v>
      </c>
      <c r="C196" s="1" t="s">
        <v>112</v>
      </c>
      <c r="E196" s="2">
        <f>D22^2*PI()*E123</f>
        <v>7.0685834705770345</v>
      </c>
      <c r="F196" s="1" t="s">
        <v>14</v>
      </c>
    </row>
    <row r="197" spans="2:6" x14ac:dyDescent="0.3">
      <c r="B197" s="17" t="s">
        <v>148</v>
      </c>
      <c r="C197" s="8" t="s">
        <v>151</v>
      </c>
      <c r="E197" s="2">
        <f>PI()*(360-E192-E193)/360*-(D22^2-E194^2)*E123</f>
        <v>8.1367249727975661</v>
      </c>
      <c r="F197" s="1" t="s">
        <v>14</v>
      </c>
    </row>
    <row r="198" spans="2:6" x14ac:dyDescent="0.3">
      <c r="B198" s="17"/>
      <c r="C198" s="7"/>
      <c r="E198" s="2"/>
    </row>
    <row r="204" spans="2:6" x14ac:dyDescent="0.3">
      <c r="B204" s="12"/>
    </row>
    <row r="205" spans="2:6" x14ac:dyDescent="0.3">
      <c r="E205" s="2"/>
    </row>
    <row r="206" spans="2:6" x14ac:dyDescent="0.3">
      <c r="E206" s="3"/>
    </row>
  </sheetData>
  <scenarios current="0">
    <scenario name="stem1" count="2" user="Windows korisnik" comment="Created by Windows korisnik on 4/4/2019">
      <inputCells r="D87" val="50.0766968954303"/>
      <inputCells r="C70" undone="1" val="60.0823042674936"/>
    </scenario>
  </scenarios>
  <pageMargins left="0.7" right="0.7" top="0.75" bottom="0.75" header="0.3" footer="0.3"/>
  <pageSetup paperSize="9" scale="31" fitToHeight="0" orientation="portrait" r:id="rId1"/>
  <rowBreaks count="1" manualBreakCount="1">
    <brk id="96" min="1" max="15" man="1"/>
  </rowBreaks>
  <colBreaks count="1" manualBreakCount="1">
    <brk id="26" min="2" max="12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Podmornica</vt:lpstr>
      <vt:lpstr>Podmornica!Print_Area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Bruno Maric</cp:lastModifiedBy>
  <cp:lastPrinted>2019-05-02T22:51:43Z</cp:lastPrinted>
  <dcterms:created xsi:type="dcterms:W3CDTF">2019-03-16T23:26:43Z</dcterms:created>
  <dcterms:modified xsi:type="dcterms:W3CDTF">2019-05-05T15:40:31Z</dcterms:modified>
</cp:coreProperties>
</file>