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STEM\git\Submarine\"/>
    </mc:Choice>
  </mc:AlternateContent>
  <xr:revisionPtr revIDLastSave="0" documentId="13_ncr:1_{345F71A6-CF9A-4F5C-80F9-4D8233BDC31F}" xr6:coauthVersionLast="43" xr6:coauthVersionMax="43" xr10:uidLastSave="{00000000-0000-0000-0000-000000000000}"/>
  <bookViews>
    <workbookView xWindow="-9915" yWindow="2970" windowWidth="21600" windowHeight="11385" xr2:uid="{00000000-000D-0000-FFFF-FFFF00000000}"/>
  </bookViews>
  <sheets>
    <sheet name="Podmornica" sheetId="1" r:id="rId1"/>
  </sheets>
  <definedNames>
    <definedName name="_xlnm.Print_Area" localSheetId="0">Podmornica!$B$3:$P$224</definedName>
    <definedName name="solver_adj" localSheetId="0" hidden="1">Podmornica!$D$104:$D$108,Podmornica!$D$110:$D$111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Podmornica!$J$118</definedName>
    <definedName name="solver_lhs2" localSheetId="0" hidden="1">Podmornica!$D$105</definedName>
    <definedName name="solver_lhs3" localSheetId="0" hidden="1">Podmornica!$D$106</definedName>
    <definedName name="solver_lhs4" localSheetId="0" hidden="1">Podmornica!$D$104</definedName>
    <definedName name="solver_lhs5" localSheetId="0" hidden="1">Podmornica!$I$118</definedName>
    <definedName name="solver_lhs6" localSheetId="0" hidden="1">Podmornica!$D$108</definedName>
    <definedName name="solver_lhs7" localSheetId="0" hidden="1">Podmornica!$D$107</definedName>
    <definedName name="solver_lhs8" localSheetId="0" hidden="1">Podmornica!$D$110</definedName>
    <definedName name="solver_lhs9" localSheetId="0" hidden="1">Podmornica!$D$111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Podmornica!$H$124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Podmornica!$J$120</definedName>
    <definedName name="solver_rhs2" localSheetId="0" hidden="1">100</definedName>
    <definedName name="solver_rhs3" localSheetId="0" hidden="1">100</definedName>
    <definedName name="solver_rhs4" localSheetId="0" hidden="1">100</definedName>
    <definedName name="solver_rhs5" localSheetId="0" hidden="1">Podmornica!$I$119</definedName>
    <definedName name="solver_rhs6" localSheetId="0" hidden="1">100</definedName>
    <definedName name="solver_rhs7" localSheetId="0" hidden="1">100</definedName>
    <definedName name="solver_rhs8" localSheetId="0" hidden="1">100</definedName>
    <definedName name="solver_rhs9" localSheetId="0" hidden="1">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9" i="1" l="1"/>
  <c r="E73" i="1"/>
  <c r="D27" i="1"/>
  <c r="E74" i="1"/>
  <c r="I113" i="1" l="1"/>
  <c r="I112" i="1"/>
  <c r="L113" i="1"/>
  <c r="L112" i="1"/>
  <c r="H101" i="1"/>
  <c r="J113" i="1"/>
  <c r="J112" i="1"/>
  <c r="O113" i="1" l="1"/>
  <c r="O112" i="1"/>
  <c r="N113" i="1"/>
  <c r="N112" i="1"/>
  <c r="F104" i="1"/>
  <c r="J111" i="1"/>
  <c r="J110" i="1"/>
  <c r="L110" i="1"/>
  <c r="D46" i="1"/>
  <c r="G100" i="1" l="1"/>
  <c r="G99" i="1" s="1"/>
  <c r="F107" i="1"/>
  <c r="F108" i="1"/>
  <c r="G108" i="1" s="1"/>
  <c r="F106" i="1"/>
  <c r="F105" i="1"/>
  <c r="G105" i="1" s="1"/>
  <c r="D22" i="1"/>
  <c r="D53" i="1"/>
  <c r="D41" i="1"/>
  <c r="D61" i="1"/>
  <c r="I110" i="1" l="1"/>
  <c r="I111" i="1"/>
  <c r="N111" i="1" s="1"/>
  <c r="E27" i="1"/>
  <c r="G130" i="1"/>
  <c r="O110" i="1" l="1"/>
  <c r="N110" i="1"/>
  <c r="E145" i="1"/>
  <c r="E184" i="1"/>
  <c r="C160" i="1"/>
  <c r="C161" i="1"/>
  <c r="C159" i="1"/>
  <c r="E185" i="1" l="1"/>
  <c r="L101" i="1" s="1"/>
  <c r="E195" i="1"/>
  <c r="G104" i="1"/>
  <c r="G187" i="1"/>
  <c r="D25" i="1"/>
  <c r="J105" i="1"/>
  <c r="J106" i="1"/>
  <c r="J107" i="1"/>
  <c r="J108" i="1"/>
  <c r="J104" i="1"/>
  <c r="I100" i="1"/>
  <c r="I101" i="1"/>
  <c r="E187" i="1"/>
  <c r="I108" i="1" s="1"/>
  <c r="E221" i="1"/>
  <c r="E224" i="1" s="1"/>
  <c r="E212" i="1"/>
  <c r="E203" i="1"/>
  <c r="E194" i="1"/>
  <c r="D45" i="1"/>
  <c r="D36" i="1"/>
  <c r="D35" i="1"/>
  <c r="D26" i="1"/>
  <c r="I95" i="1"/>
  <c r="I104" i="1" l="1"/>
  <c r="N104" i="1" s="1"/>
  <c r="E197" i="1"/>
  <c r="J99" i="1"/>
  <c r="N99" i="1" s="1"/>
  <c r="O101" i="1"/>
  <c r="L108" i="1"/>
  <c r="O108" i="1" s="1"/>
  <c r="L100" i="1"/>
  <c r="O100" i="1" s="1"/>
  <c r="L102" i="1"/>
  <c r="M124" i="1"/>
  <c r="J94" i="1"/>
  <c r="J96" i="1"/>
  <c r="N96" i="1" s="1"/>
  <c r="J95" i="1"/>
  <c r="N95" i="1" s="1"/>
  <c r="J98" i="1"/>
  <c r="J97" i="1"/>
  <c r="J102" i="1"/>
  <c r="J100" i="1"/>
  <c r="N100" i="1" s="1"/>
  <c r="J101" i="1"/>
  <c r="N101" i="1" s="1"/>
  <c r="J120" i="1"/>
  <c r="M125" i="1" s="1"/>
  <c r="N108" i="1"/>
  <c r="E223" i="1"/>
  <c r="H160" i="1"/>
  <c r="I160" i="1" s="1"/>
  <c r="H159" i="1"/>
  <c r="G161" i="1"/>
  <c r="E174" i="1"/>
  <c r="D40" i="1" l="1"/>
  <c r="D42" i="1" s="1"/>
  <c r="H66" i="1" s="1"/>
  <c r="D52" i="1"/>
  <c r="D54" i="1" s="1"/>
  <c r="D55" i="1" s="1"/>
  <c r="H161" i="1"/>
  <c r="I159" i="1"/>
  <c r="I161" i="1" s="1"/>
  <c r="D30" i="1" l="1"/>
  <c r="E78" i="1" s="1"/>
  <c r="I119" i="1"/>
  <c r="F24" i="1" s="1"/>
  <c r="H70" i="1"/>
  <c r="E71" i="1" s="1"/>
  <c r="E72" i="1" l="1"/>
  <c r="G135" i="1"/>
  <c r="G133" i="1" l="1"/>
  <c r="G139" i="1" l="1"/>
  <c r="D16" i="1" l="1"/>
  <c r="D17" i="1" s="1"/>
  <c r="D60" i="1" s="1"/>
  <c r="D59" i="1" s="1"/>
  <c r="F59" i="1" l="1"/>
  <c r="E186" i="1" l="1"/>
  <c r="E196" i="1"/>
  <c r="L99" i="1" l="1"/>
  <c r="O99" i="1" s="1"/>
  <c r="L107" i="1"/>
  <c r="G134" i="1"/>
  <c r="G136" i="1" s="1"/>
  <c r="D47" i="1"/>
  <c r="D37" i="1"/>
  <c r="G132" i="1"/>
  <c r="G138" i="1" s="1"/>
  <c r="L121" i="1"/>
  <c r="D29" i="1" l="1"/>
  <c r="D48" i="1"/>
  <c r="F66" i="1"/>
  <c r="I94" i="1" s="1"/>
  <c r="L94" i="1"/>
  <c r="N94" i="1" l="1"/>
  <c r="O94" i="1"/>
  <c r="E76" i="1"/>
  <c r="E80" i="1" s="1"/>
  <c r="E81" i="1" s="1"/>
  <c r="E82" i="1" l="1"/>
  <c r="F88" i="1" s="1"/>
  <c r="E89" i="1"/>
  <c r="I102" i="1" s="1"/>
  <c r="E148" i="1" l="1"/>
  <c r="E215" i="1" s="1"/>
  <c r="I105" i="1" s="1"/>
  <c r="E84" i="1"/>
  <c r="I97" i="1" s="1"/>
  <c r="H165" i="1"/>
  <c r="F166" i="1"/>
  <c r="F167" i="1"/>
  <c r="G167" i="1" s="1"/>
  <c r="E214" i="1" l="1"/>
  <c r="G107" i="1"/>
  <c r="I107" i="1" s="1"/>
  <c r="N107" i="1" s="1"/>
  <c r="N105" i="1"/>
  <c r="N97" i="1"/>
  <c r="G166" i="1"/>
  <c r="G168" i="1" s="1"/>
  <c r="F168" i="1"/>
  <c r="I98" i="1" s="1"/>
  <c r="O107" i="1" l="1"/>
  <c r="N98" i="1"/>
  <c r="D169" i="1"/>
  <c r="E147" i="1" s="1"/>
  <c r="E152" i="1" l="1"/>
  <c r="F21" i="1" s="1"/>
  <c r="E222" i="1"/>
  <c r="E213" i="1"/>
  <c r="E204" i="1"/>
  <c r="L111" i="1"/>
  <c r="O111" i="1" s="1"/>
  <c r="G106" i="1"/>
  <c r="E206" i="1"/>
  <c r="E205" i="1"/>
  <c r="I106" i="1" l="1"/>
  <c r="L96" i="1"/>
  <c r="O96" i="1" s="1"/>
  <c r="L105" i="1"/>
  <c r="O105" i="1" s="1"/>
  <c r="L95" i="1"/>
  <c r="O95" i="1" s="1"/>
  <c r="L104" i="1"/>
  <c r="O104" i="1" s="1"/>
  <c r="L98" i="1"/>
  <c r="O98" i="1" s="1"/>
  <c r="L97" i="1"/>
  <c r="O97" i="1" s="1"/>
  <c r="L106" i="1"/>
  <c r="I115" i="1" l="1"/>
  <c r="F25" i="1" s="1"/>
  <c r="O106" i="1"/>
  <c r="O118" i="1" s="1"/>
  <c r="N106" i="1"/>
  <c r="N118" i="1" s="1"/>
  <c r="I118" i="1"/>
  <c r="F23" i="1" s="1"/>
  <c r="G46" i="1"/>
  <c r="F28" i="1" l="1"/>
  <c r="F47" i="1" s="1"/>
  <c r="J118" i="1"/>
  <c r="G137" i="1" s="1"/>
  <c r="H17" i="1"/>
  <c r="L118" i="1"/>
  <c r="N124" i="1" s="1"/>
  <c r="N127" i="1" s="1"/>
  <c r="N125" i="1" l="1"/>
  <c r="N126" i="1" s="1"/>
  <c r="N129" i="1" s="1"/>
  <c r="H124" i="1"/>
</calcChain>
</file>

<file path=xl/sharedStrings.xml><?xml version="1.0" encoding="utf-8"?>
<sst xmlns="http://schemas.openxmlformats.org/spreadsheetml/2006/main" count="343" uniqueCount="240">
  <si>
    <t>m</t>
  </si>
  <si>
    <t>Hidrostatski tlak =ro*g*h</t>
  </si>
  <si>
    <t>kg/m3</t>
  </si>
  <si>
    <t>g</t>
  </si>
  <si>
    <t>m/s2</t>
  </si>
  <si>
    <t>Dubina mora, h</t>
  </si>
  <si>
    <t>1 bar</t>
  </si>
  <si>
    <t>Pa</t>
  </si>
  <si>
    <t>bar</t>
  </si>
  <si>
    <t>Dimenzije podmorice:</t>
  </si>
  <si>
    <t>Radijus, R</t>
  </si>
  <si>
    <t>m2</t>
  </si>
  <si>
    <t>m3</t>
  </si>
  <si>
    <t>Kugle, 4*R^2*pi()</t>
  </si>
  <si>
    <t>Debljina stijenke podmornice, t:</t>
  </si>
  <si>
    <t>Peq, tlak</t>
  </si>
  <si>
    <t>sigma=</t>
  </si>
  <si>
    <t>N/mm2</t>
  </si>
  <si>
    <t>J, faktor zavarivanja</t>
  </si>
  <si>
    <t>mm</t>
  </si>
  <si>
    <t>Potrebna snaga:</t>
  </si>
  <si>
    <t>CF= 0,075/(log10*Rn-2)^2, , koef. Trenja,</t>
  </si>
  <si>
    <t>S, Ukupno</t>
  </si>
  <si>
    <t>Pe=Re*V</t>
  </si>
  <si>
    <t>V, brzina broda</t>
  </si>
  <si>
    <t>čv</t>
  </si>
  <si>
    <t>m/2</t>
  </si>
  <si>
    <t>m2/s</t>
  </si>
  <si>
    <t>kW</t>
  </si>
  <si>
    <t>kN</t>
  </si>
  <si>
    <t>t</t>
  </si>
  <si>
    <t>t=Peq*Di/(20*sigma*J+Peq)</t>
  </si>
  <si>
    <t>težište, zg</t>
  </si>
  <si>
    <t>xg</t>
  </si>
  <si>
    <t>Gaz, T</t>
  </si>
  <si>
    <t>MG=BM+KB-KG</t>
  </si>
  <si>
    <t>BM, L*B^3/12</t>
  </si>
  <si>
    <t>B, Širinu, 2*sqrt(max(0, R^2-(T-R)^2))</t>
  </si>
  <si>
    <t>Volumen, Cil, (R^2*(PI()-ACOS(MIN(0, ((T-R)/R)))+(T-R)*B/2)*LC</t>
  </si>
  <si>
    <t>Volumen, Kugle, pi()/3*(4*R^3-MAX(0, 2*R-T)^2*(R+T))</t>
  </si>
  <si>
    <t>alfa2</t>
  </si>
  <si>
    <t>balast 1</t>
  </si>
  <si>
    <t>balast 2</t>
  </si>
  <si>
    <t>%LC</t>
  </si>
  <si>
    <t>beta2</t>
  </si>
  <si>
    <t>Duljine tankova</t>
  </si>
  <si>
    <t>LWL, Duljina WL, MAX(0;SIGN(2*R-T))*LC+2*SQRT(MAX(0,R^2-(T-R)^2))</t>
  </si>
  <si>
    <t>st</t>
  </si>
  <si>
    <t>-</t>
  </si>
  <si>
    <t>Ukupna masa</t>
  </si>
  <si>
    <t>Volumen, podmornice u plovidbi</t>
  </si>
  <si>
    <t>Di=R*2*1000</t>
  </si>
  <si>
    <t>(Peq*Di/(20*sigma+Peq))</t>
  </si>
  <si>
    <t>pi()*(360-alfa1-beta1)/360*(R^2-R1^2)*l1</t>
  </si>
  <si>
    <t>R^2*pi()*l1</t>
  </si>
  <si>
    <t>R+l1/2</t>
  </si>
  <si>
    <t>XG2,</t>
  </si>
  <si>
    <t>R+l1+l2/2</t>
  </si>
  <si>
    <t>R^2*pi()*l2</t>
  </si>
  <si>
    <t>pi()*(360-alfa2-beta2)/360*(R^2-R2^2)*l2</t>
  </si>
  <si>
    <t>Masa čelika (trupa):</t>
  </si>
  <si>
    <t>R/2</t>
  </si>
  <si>
    <t>R1*PB1/100+(R-R1)</t>
  </si>
  <si>
    <t>R2*PB2/100+(R-R2)</t>
  </si>
  <si>
    <t>ukupno, MU</t>
  </si>
  <si>
    <t>MOM, mx</t>
  </si>
  <si>
    <t>MOM, mz</t>
  </si>
  <si>
    <t>CT=CF*(1+k), koef. ukupnog otpora</t>
  </si>
  <si>
    <t>Re=CT*0,5*ro*v^2*S/1000</t>
  </si>
  <si>
    <t>Kinematički viskozitet vode, ni=</t>
  </si>
  <si>
    <t>Pb1=Pe/(0,5*0,98)</t>
  </si>
  <si>
    <t>k=-0.095+25.6 *CB/((L/2R)^2*(2R/2R)^0.5), koef. Utjecaja trupa</t>
  </si>
  <si>
    <t>Koef, čv. u m/s</t>
  </si>
  <si>
    <t>Definicije tankova</t>
  </si>
  <si>
    <t>VCB, Težište istisnine po visini</t>
  </si>
  <si>
    <t>LCB, Težište istisnine po duljini, L/2=</t>
  </si>
  <si>
    <t>Težište masa po visini, VCG</t>
  </si>
  <si>
    <t>Težište masa po duljini, LCG</t>
  </si>
  <si>
    <t>alfa_t, Kut trim ( mora biti blizu 0) = atan((L/2-LCG)/(VCB-VCG))</t>
  </si>
  <si>
    <t>KB= T/2</t>
  </si>
  <si>
    <t>Stabilitet podmornice u plovidbi</t>
  </si>
  <si>
    <t>alfa1, kut gornjeg otvora</t>
  </si>
  <si>
    <t>beta1, donji kut</t>
  </si>
  <si>
    <t>R1, unutrašnji radijus balastnih tankova</t>
  </si>
  <si>
    <t>XG1, težište tanka po duljini</t>
  </si>
  <si>
    <t>Pb= Pb1/0.85, ukupna potrebna snaga na vijku</t>
  </si>
  <si>
    <t>Ulazni parametri za pogon</t>
  </si>
  <si>
    <t>t/kW</t>
  </si>
  <si>
    <t>m3/kW</t>
  </si>
  <si>
    <t>SM, Specifična masa po kW pogona</t>
  </si>
  <si>
    <t>MM=Pb*SM, masa pogona</t>
  </si>
  <si>
    <t>Kugla, 4/3*R^3*pi()</t>
  </si>
  <si>
    <t>MIN</t>
  </si>
  <si>
    <t>VT2, Volumen tanka,</t>
  </si>
  <si>
    <t>VB2, Volumen balasta,</t>
  </si>
  <si>
    <t>R+l1+l2+l3/2</t>
  </si>
  <si>
    <t>R+l1+l2+l3+l4+l5/2</t>
  </si>
  <si>
    <t>R^2*pi()*l3</t>
  </si>
  <si>
    <t>R^2*pi()*l5</t>
  </si>
  <si>
    <t>Pogonsko postrojenje</t>
  </si>
  <si>
    <t>Izmjenjivači, turbina, ložište, kondenzator, generator + elektromotor</t>
  </si>
  <si>
    <t>POTROŠNJA GORIVA</t>
  </si>
  <si>
    <t>Etanola</t>
  </si>
  <si>
    <t>kg/h/kW</t>
  </si>
  <si>
    <t>Kisika</t>
  </si>
  <si>
    <t>Postrojenje snage 150 kW ima masu 15 t</t>
  </si>
  <si>
    <t>gustoća, kg/m3</t>
  </si>
  <si>
    <t>Projektni parametri</t>
  </si>
  <si>
    <t>sata</t>
  </si>
  <si>
    <t>Vrijeme plovidbe</t>
  </si>
  <si>
    <t>Radijus plovidbe</t>
  </si>
  <si>
    <t>nm</t>
  </si>
  <si>
    <t>Masa goriva za snagu, t</t>
  </si>
  <si>
    <t>TANK3 - GORIVO</t>
  </si>
  <si>
    <t>alfa3</t>
  </si>
  <si>
    <t>beta3</t>
  </si>
  <si>
    <t>XG3,</t>
  </si>
  <si>
    <t>TANK4 - POGONSKO POSTROJENJE</t>
  </si>
  <si>
    <t>alfa4</t>
  </si>
  <si>
    <t>beta4</t>
  </si>
  <si>
    <t>XG4,</t>
  </si>
  <si>
    <t>R+l1+l4+l3+l4/4</t>
  </si>
  <si>
    <t>VT4, Volumen tanka,</t>
  </si>
  <si>
    <t>VB4, Volumen balasta,</t>
  </si>
  <si>
    <t>VT3, Volumen tanka,</t>
  </si>
  <si>
    <t>VB3, Volumen balasta,</t>
  </si>
  <si>
    <t>TANK5 - PROSTOR ELEKTROMOTORA</t>
  </si>
  <si>
    <t>beta5</t>
  </si>
  <si>
    <t>XG5,</t>
  </si>
  <si>
    <t>VT5, Volumen tanka,</t>
  </si>
  <si>
    <t>VB5, Volumen balasta,</t>
  </si>
  <si>
    <t>pi()*(360-alfa3-beta3)/360*(R^2-R3^2)*l2</t>
  </si>
  <si>
    <t>pi()*(360-alfa4-beta4)/360*(R^2-R4^2)*l2</t>
  </si>
  <si>
    <t>pi()*(360-alfa5-beta5)/360*(R^2-R5^2)*l2</t>
  </si>
  <si>
    <t>VT1, Volumen tanka,</t>
  </si>
  <si>
    <t>VB1, Volumen balasta,</t>
  </si>
  <si>
    <t>Volumen, V3,  m3</t>
  </si>
  <si>
    <t>Ukupno:</t>
  </si>
  <si>
    <t>Minimalna duljina tanka za gorivo, l3=V3/(R^2*pi()), m</t>
  </si>
  <si>
    <t>l4 - POGONSKO POSTROJENJE</t>
  </si>
  <si>
    <t>Duljina, D, mm</t>
  </si>
  <si>
    <t>Širina, A, mm</t>
  </si>
  <si>
    <t>Visina, B, mm</t>
  </si>
  <si>
    <t>Volumen, m^3</t>
  </si>
  <si>
    <t>Min (za 20 kW)</t>
  </si>
  <si>
    <t>Max (za 150 kW)</t>
  </si>
  <si>
    <t>Projvera za R4</t>
  </si>
  <si>
    <t>l1 - POSADA I PUTNICI</t>
  </si>
  <si>
    <t>l2 - KOMORA</t>
  </si>
  <si>
    <t>l3 - GORIVO</t>
  </si>
  <si>
    <t>l5 - ELKTROMOTOR</t>
  </si>
  <si>
    <t>Cilindar, R^2*pi()*LC</t>
  </si>
  <si>
    <t>TERET</t>
  </si>
  <si>
    <t>TRUP</t>
  </si>
  <si>
    <t>alfa5</t>
  </si>
  <si>
    <t>Radijus balast, RB</t>
  </si>
  <si>
    <t>TANK2 - KOMORA</t>
  </si>
  <si>
    <t>TANK1 - POSADA I PUTNICI</t>
  </si>
  <si>
    <t>balast 3</t>
  </si>
  <si>
    <t>balast 4</t>
  </si>
  <si>
    <t>balast 5</t>
  </si>
  <si>
    <t>ELEKTROMOTOR (5)</t>
  </si>
  <si>
    <t>POGONSKO POSTROJENJE (4)</t>
  </si>
  <si>
    <t>GORIVO (3)</t>
  </si>
  <si>
    <t>PUTNICI (1)</t>
  </si>
  <si>
    <t>POSADA (1)</t>
  </si>
  <si>
    <t>Razlika radijusa</t>
  </si>
  <si>
    <t>koef. Volumena</t>
  </si>
  <si>
    <t>m^3/kWh</t>
  </si>
  <si>
    <t>koef. Mase</t>
  </si>
  <si>
    <t>kg/kWh</t>
  </si>
  <si>
    <t>Podaci za baterije</t>
  </si>
  <si>
    <t>Potreban kapacitet baterija</t>
  </si>
  <si>
    <t>Masa baterija, t</t>
  </si>
  <si>
    <t>Volumen baterija, m^3</t>
  </si>
  <si>
    <t>AKU BATERIJE</t>
  </si>
  <si>
    <t>%, popunjenost</t>
  </si>
  <si>
    <t>KOMORA (2)</t>
  </si>
  <si>
    <t>L1</t>
  </si>
  <si>
    <t>L2</t>
  </si>
  <si>
    <t>V1, V2</t>
  </si>
  <si>
    <t>dV</t>
  </si>
  <si>
    <t>dL</t>
  </si>
  <si>
    <t>SV, Specifični volumen po kW pogona - ne koristi se trenutno</t>
  </si>
  <si>
    <t>Gustoća mora, ro</t>
  </si>
  <si>
    <t>Gustoća čelika, roc</t>
  </si>
  <si>
    <t>Konstante</t>
  </si>
  <si>
    <t>Duljina cilindra iz proračuna - prepisuje se lijevo do se ne izjednjači</t>
  </si>
  <si>
    <t>CENTRACIJA</t>
  </si>
  <si>
    <t>ULAZNI PARAMETRI</t>
  </si>
  <si>
    <t>Brzina</t>
  </si>
  <si>
    <t>Broj putnika, 1=2P; 2=4P, 3=6P</t>
  </si>
  <si>
    <t>Radni tlak</t>
  </si>
  <si>
    <t>%(2*R)</t>
  </si>
  <si>
    <t>Provjera kuta</t>
  </si>
  <si>
    <t>kut trima</t>
  </si>
  <si>
    <t>Oplakana poršina (S)*debljina (t) *roc*1,5 (mokrog plašta)*1,5(masa strukture)</t>
  </si>
  <si>
    <t>Volumen podmornice, čvrsti trup:</t>
  </si>
  <si>
    <t>Volumen podmornice, mokri trup:</t>
  </si>
  <si>
    <t>Cilindar, RB^2*pi()*LC</t>
  </si>
  <si>
    <t>Kugla, 4/3*RB^3*pi()</t>
  </si>
  <si>
    <t>Duljina čvrsti, LC1</t>
  </si>
  <si>
    <t>Duljina mokri, LC2</t>
  </si>
  <si>
    <t>Oplošje podmornice, mokri trup:</t>
  </si>
  <si>
    <t>Oplošje podmornice, čvrsti trup:</t>
  </si>
  <si>
    <t>Cilindar, 2*R*pi()*LC1</t>
  </si>
  <si>
    <t>Cilindar, 2*RB*pi()*LC2</t>
  </si>
  <si>
    <t>Kugle, 4*RB^2*pi()</t>
  </si>
  <si>
    <t>Ukupno, VOL1</t>
  </si>
  <si>
    <t>Istisnina, VOL1*ro</t>
  </si>
  <si>
    <t>Ukupno, VOL2</t>
  </si>
  <si>
    <t>Istisnina, VOL2*ro</t>
  </si>
  <si>
    <t>L1, duljina, LC1+2*R, čvrsti trup</t>
  </si>
  <si>
    <t>L2, duljina, LC2+2*RB, čvrsti trup</t>
  </si>
  <si>
    <t>CB1=VOL1/(L1*2R*2R), blok koef. čvrsti trup</t>
  </si>
  <si>
    <t>CB2=VOL2/(L2*2RB*2RB), blok koef. mokri trup</t>
  </si>
  <si>
    <t>k=-0.095+25.6 *CB2/((L2/2RB)^2</t>
  </si>
  <si>
    <t>Fn=V/(g*L2)^0.5</t>
  </si>
  <si>
    <t>Rn=V*L2/ni, Reynoldsov broj</t>
  </si>
  <si>
    <t>Service continues rating, 100% MCR</t>
  </si>
  <si>
    <t>Istisnina/Uzgon</t>
  </si>
  <si>
    <t>Masa</t>
  </si>
  <si>
    <t>Uzgon</t>
  </si>
  <si>
    <t>R2, vanjski radijus balastnih tankova</t>
  </si>
  <si>
    <t>R3, vanjski radijus balastnih tankova</t>
  </si>
  <si>
    <t>R4. vanjski radijus balastnih tankova</t>
  </si>
  <si>
    <t>R5, vanjski radijus balastnih tankova</t>
  </si>
  <si>
    <t>R^2*pi()*l4</t>
  </si>
  <si>
    <t>Ukupno balast</t>
  </si>
  <si>
    <t>Balast</t>
  </si>
  <si>
    <t>R1, vanjski radijus balastnih tankova</t>
  </si>
  <si>
    <t>visina, h</t>
  </si>
  <si>
    <t>Stajaća visina</t>
  </si>
  <si>
    <t>balast trim pramac</t>
  </si>
  <si>
    <t>balast trim krma</t>
  </si>
  <si>
    <t>kut, st/rad</t>
  </si>
  <si>
    <t>Volumen odsječka</t>
  </si>
  <si>
    <t>Površina odsječka</t>
  </si>
  <si>
    <t>balast 7 (polukugla)</t>
  </si>
  <si>
    <t>balast 6 (polukugla)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</si>
</sst>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0"/>
    <numFmt numFmtId="167" formatCode="0.0"/>
    <numFmt numFmtId="168" formatCode="0.00000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rgb="FF00B050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0" fillId="0" borderId="0" xfId="0" applyFont="1"/>
    <xf numFmtId="0" fontId="3" fillId="0" borderId="0" xfId="0" applyFont="1"/>
    <xf numFmtId="11" fontId="1" fillId="0" borderId="0" xfId="0" applyNumberFormat="1" applyFont="1"/>
    <xf numFmtId="0" fontId="1" fillId="0" borderId="0" xfId="0" quotePrefix="1" applyFont="1"/>
    <xf numFmtId="166" fontId="1" fillId="0" borderId="0" xfId="0" applyNumberFormat="1" applyFont="1"/>
    <xf numFmtId="0" fontId="4" fillId="0" borderId="0" xfId="0" applyFont="1"/>
    <xf numFmtId="2" fontId="4" fillId="0" borderId="0" xfId="0" applyNumberFormat="1" applyFont="1"/>
    <xf numFmtId="167" fontId="1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8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168" fontId="1" fillId="0" borderId="0" xfId="0" applyNumberFormat="1" applyFont="1"/>
    <xf numFmtId="1" fontId="1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0" borderId="1" xfId="0" applyFont="1" applyBorder="1"/>
    <xf numFmtId="0" fontId="4" fillId="0" borderId="2" xfId="0" applyFont="1" applyBorder="1"/>
    <xf numFmtId="0" fontId="1" fillId="0" borderId="2" xfId="0" applyFont="1" applyBorder="1"/>
    <xf numFmtId="0" fontId="4" fillId="0" borderId="2" xfId="0" applyFont="1" applyBorder="1" applyAlignment="1">
      <alignment horizontal="right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2" fontId="1" fillId="0" borderId="0" xfId="0" applyNumberFormat="1" applyFont="1" applyBorder="1"/>
    <xf numFmtId="164" fontId="1" fillId="0" borderId="0" xfId="0" applyNumberFormat="1" applyFont="1" applyBorder="1"/>
    <xf numFmtId="0" fontId="1" fillId="0" borderId="5" xfId="0" applyFont="1" applyBorder="1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/>
    <xf numFmtId="2" fontId="4" fillId="0" borderId="0" xfId="0" applyNumberFormat="1" applyFont="1" applyBorder="1"/>
    <xf numFmtId="164" fontId="4" fillId="0" borderId="0" xfId="0" applyNumberFormat="1" applyFont="1" applyBorder="1"/>
    <xf numFmtId="2" fontId="4" fillId="0" borderId="0" xfId="0" applyNumberFormat="1" applyFon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4" fillId="0" borderId="7" xfId="0" applyFont="1" applyBorder="1"/>
    <xf numFmtId="0" fontId="1" fillId="0" borderId="8" xfId="0" applyFont="1" applyBorder="1"/>
    <xf numFmtId="167" fontId="12" fillId="0" borderId="0" xfId="0" applyNumberFormat="1" applyFont="1"/>
    <xf numFmtId="0" fontId="12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2" fontId="13" fillId="0" borderId="0" xfId="0" applyNumberFormat="1" applyFont="1"/>
    <xf numFmtId="168" fontId="1" fillId="0" borderId="0" xfId="0" applyNumberFormat="1" applyFont="1" applyBorder="1"/>
    <xf numFmtId="164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910564304461942"/>
                  <c:y val="0.27847404491105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Podmornica!$H$157:$I$157</c:f>
              <c:numCache>
                <c:formatCode>General</c:formatCode>
                <c:ptCount val="2"/>
                <c:pt idx="0">
                  <c:v>20</c:v>
                </c:pt>
                <c:pt idx="1">
                  <c:v>150</c:v>
                </c:pt>
              </c:numCache>
            </c:numRef>
          </c:xVal>
          <c:yVal>
            <c:numRef>
              <c:f>Podmornica!$H$158:$I$158</c:f>
              <c:numCache>
                <c:formatCode>General</c:formatCode>
                <c:ptCount val="2"/>
                <c:pt idx="0">
                  <c:v>4000</c:v>
                </c:pt>
                <c:pt idx="1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B5-424D-80BE-552DDE0A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603312"/>
        <c:axId val="-158602768"/>
      </c:scatterChart>
      <c:valAx>
        <c:axId val="-1586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602768"/>
        <c:crosses val="autoZero"/>
        <c:crossBetween val="midCat"/>
      </c:valAx>
      <c:valAx>
        <c:axId val="-1586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6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Podmornica!$I$142</c:f>
              <c:strCache>
                <c:ptCount val="1"/>
                <c:pt idx="0">
                  <c:v>balast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Podmornica!$J$141:$O$141</c:f>
              <c:numCache>
                <c:formatCode>0</c:formatCode>
                <c:ptCount val="5"/>
                <c:pt idx="1">
                  <c:v>5</c:v>
                </c:pt>
                <c:pt idx="2" formatCode="General">
                  <c:v>10</c:v>
                </c:pt>
                <c:pt idx="3" formatCode="General">
                  <c:v>30</c:v>
                </c:pt>
                <c:pt idx="4" formatCode="General">
                  <c:v>50</c:v>
                </c:pt>
              </c:numCache>
            </c:numRef>
          </c:xVal>
          <c:yVal>
            <c:numRef>
              <c:f>Podmornica!$J$142:$O$142</c:f>
              <c:numCache>
                <c:formatCode>0.0</c:formatCode>
                <c:ptCount val="5"/>
                <c:pt idx="0">
                  <c:v>94.458960845197964</c:v>
                </c:pt>
                <c:pt idx="1">
                  <c:v>93.579673607296726</c:v>
                </c:pt>
                <c:pt idx="2">
                  <c:v>85.393174062380226</c:v>
                </c:pt>
                <c:pt idx="3">
                  <c:v>53.744405434055828</c:v>
                </c:pt>
                <c:pt idx="4">
                  <c:v>28.682944670571846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C-46AC-8ABA-648AF3039E16}"/>
            </c:ext>
          </c:extLst>
        </c:ser>
        <c:ser>
          <c:idx val="1"/>
          <c:order val="1"/>
          <c:tx>
            <c:strRef>
              <c:f>Podmornica!$I$143</c:f>
              <c:strCache>
                <c:ptCount val="1"/>
                <c:pt idx="0">
                  <c:v>balast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Podmornica!$J$141:$O$141</c:f>
              <c:numCache>
                <c:formatCode>0</c:formatCode>
                <c:ptCount val="5"/>
                <c:pt idx="1">
                  <c:v>5</c:v>
                </c:pt>
                <c:pt idx="2" formatCode="General">
                  <c:v>10</c:v>
                </c:pt>
                <c:pt idx="3" formatCode="General">
                  <c:v>30</c:v>
                </c:pt>
                <c:pt idx="4" formatCode="General">
                  <c:v>50</c:v>
                </c:pt>
              </c:numCache>
            </c:numRef>
          </c:xVal>
          <c:yVal>
            <c:numRef>
              <c:f>Podmornica!$J$143:$O$143</c:f>
              <c:numCache>
                <c:formatCode>0.0</c:formatCode>
                <c:ptCount val="5"/>
                <c:pt idx="0">
                  <c:v>79.619001484299844</c:v>
                </c:pt>
                <c:pt idx="1">
                  <c:v>79.264684166386289</c:v>
                </c:pt>
                <c:pt idx="2">
                  <c:v>81.223778330445938</c:v>
                </c:pt>
                <c:pt idx="3">
                  <c:v>88.797265123358287</c:v>
                </c:pt>
                <c:pt idx="4">
                  <c:v>94.794422369265192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C-46AC-8ABA-648AF3039E16}"/>
            </c:ext>
          </c:extLst>
        </c:ser>
        <c:ser>
          <c:idx val="2"/>
          <c:order val="2"/>
          <c:tx>
            <c:strRef>
              <c:f>Podmornica!$I$144</c:f>
              <c:strCache>
                <c:ptCount val="1"/>
                <c:pt idx="0">
                  <c:v>balast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Podmornica!$J$141:$O$141</c:f>
              <c:numCache>
                <c:formatCode>0</c:formatCode>
                <c:ptCount val="5"/>
                <c:pt idx="1">
                  <c:v>5</c:v>
                </c:pt>
                <c:pt idx="2" formatCode="General">
                  <c:v>10</c:v>
                </c:pt>
                <c:pt idx="3" formatCode="General">
                  <c:v>30</c:v>
                </c:pt>
                <c:pt idx="4" formatCode="General">
                  <c:v>50</c:v>
                </c:pt>
              </c:numCache>
            </c:numRef>
          </c:xVal>
          <c:yVal>
            <c:numRef>
              <c:f>Podmornica!$J$144:$O$144</c:f>
              <c:numCache>
                <c:formatCode>0.0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FC-46AC-8ABA-648AF3039E16}"/>
            </c:ext>
          </c:extLst>
        </c:ser>
        <c:ser>
          <c:idx val="3"/>
          <c:order val="3"/>
          <c:tx>
            <c:strRef>
              <c:f>Podmornica!$I$145</c:f>
              <c:strCache>
                <c:ptCount val="1"/>
                <c:pt idx="0">
                  <c:v>balast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Podmornica!$J$141:$O$141</c:f>
              <c:numCache>
                <c:formatCode>0</c:formatCode>
                <c:ptCount val="5"/>
                <c:pt idx="1">
                  <c:v>5</c:v>
                </c:pt>
                <c:pt idx="2" formatCode="General">
                  <c:v>10</c:v>
                </c:pt>
                <c:pt idx="3" formatCode="General">
                  <c:v>30</c:v>
                </c:pt>
                <c:pt idx="4" formatCode="General">
                  <c:v>50</c:v>
                </c:pt>
              </c:numCache>
            </c:numRef>
          </c:xVal>
          <c:yVal>
            <c:numRef>
              <c:f>Podmornica!$J$145:$O$145</c:f>
              <c:numCache>
                <c:formatCode>0.0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FC-46AC-8ABA-648AF3039E16}"/>
            </c:ext>
          </c:extLst>
        </c:ser>
        <c:ser>
          <c:idx val="4"/>
          <c:order val="4"/>
          <c:tx>
            <c:strRef>
              <c:f>Podmornica!$I$146</c:f>
              <c:strCache>
                <c:ptCount val="1"/>
                <c:pt idx="0">
                  <c:v>balast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Podmornica!$J$141:$O$141</c:f>
              <c:numCache>
                <c:formatCode>0</c:formatCode>
                <c:ptCount val="5"/>
                <c:pt idx="1">
                  <c:v>5</c:v>
                </c:pt>
                <c:pt idx="2" formatCode="General">
                  <c:v>10</c:v>
                </c:pt>
                <c:pt idx="3" formatCode="General">
                  <c:v>30</c:v>
                </c:pt>
                <c:pt idx="4" formatCode="General">
                  <c:v>50</c:v>
                </c:pt>
              </c:numCache>
            </c:numRef>
          </c:xVal>
          <c:yVal>
            <c:numRef>
              <c:f>Podmornica!$J$146:$O$146</c:f>
              <c:numCache>
                <c:formatCode>0.0</c:formatCode>
                <c:ptCount val="5"/>
                <c:pt idx="0">
                  <c:v>99.309918018647707</c:v>
                </c:pt>
                <c:pt idx="1">
                  <c:v>100.00009930991801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FC-46AC-8ABA-648AF3039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602224"/>
        <c:axId val="-331219312"/>
      </c:scatterChart>
      <c:valAx>
        <c:axId val="-15860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219312"/>
        <c:crosses val="autoZero"/>
        <c:crossBetween val="midCat"/>
      </c:valAx>
      <c:valAx>
        <c:axId val="-3312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60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Podmornica!$I$149</c:f>
              <c:strCache>
                <c:ptCount val="1"/>
                <c:pt idx="0">
                  <c:v>balast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Podmornica!$J$148:$O$148</c:f>
              <c:numCache>
                <c:formatCode>0</c:formatCode>
                <c:ptCount val="5"/>
                <c:pt idx="0" formatCode="General">
                  <c:v>-1</c:v>
                </c:pt>
                <c:pt idx="1">
                  <c:v>-5</c:v>
                </c:pt>
                <c:pt idx="2" formatCode="General">
                  <c:v>-10</c:v>
                </c:pt>
                <c:pt idx="3" formatCode="General">
                  <c:v>-30</c:v>
                </c:pt>
                <c:pt idx="4" formatCode="General">
                  <c:v>-50</c:v>
                </c:pt>
              </c:numCache>
            </c:numRef>
          </c:xVal>
          <c:yVal>
            <c:numRef>
              <c:f>Podmornica!$J$149:$O$149</c:f>
              <c:numCache>
                <c:formatCode>0.0</c:formatCode>
                <c:ptCount val="5"/>
                <c:pt idx="0">
                  <c:v>36.085473002271172</c:v>
                </c:pt>
                <c:pt idx="1">
                  <c:v>37.581753485663079</c:v>
                </c:pt>
                <c:pt idx="2">
                  <c:v>39.56494460269468</c:v>
                </c:pt>
                <c:pt idx="3">
                  <c:v>49.642594105236398</c:v>
                </c:pt>
                <c:pt idx="4">
                  <c:v>67.34340040956603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D-4A4D-87E8-88A2F9BBC916}"/>
            </c:ext>
          </c:extLst>
        </c:ser>
        <c:ser>
          <c:idx val="1"/>
          <c:order val="1"/>
          <c:tx>
            <c:strRef>
              <c:f>Podmornica!$I$150</c:f>
              <c:strCache>
                <c:ptCount val="1"/>
                <c:pt idx="0">
                  <c:v>balast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Podmornica!$J$148:$O$148</c:f>
              <c:numCache>
                <c:formatCode>0</c:formatCode>
                <c:ptCount val="5"/>
                <c:pt idx="0" formatCode="General">
                  <c:v>-1</c:v>
                </c:pt>
                <c:pt idx="1">
                  <c:v>-5</c:v>
                </c:pt>
                <c:pt idx="2" formatCode="General">
                  <c:v>-10</c:v>
                </c:pt>
                <c:pt idx="3" formatCode="General">
                  <c:v>-30</c:v>
                </c:pt>
                <c:pt idx="4" formatCode="General">
                  <c:v>-50</c:v>
                </c:pt>
              </c:numCache>
            </c:numRef>
          </c:xVal>
          <c:yVal>
            <c:numRef>
              <c:f>Podmornica!$J$150:$O$150</c:f>
              <c:numCache>
                <c:formatCode>0.0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D-4A4D-87E8-88A2F9BBC916}"/>
            </c:ext>
          </c:extLst>
        </c:ser>
        <c:ser>
          <c:idx val="2"/>
          <c:order val="2"/>
          <c:tx>
            <c:strRef>
              <c:f>Podmornica!$I$151</c:f>
              <c:strCache>
                <c:ptCount val="1"/>
                <c:pt idx="0">
                  <c:v>balast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Podmornica!$J$148:$O$148</c:f>
              <c:numCache>
                <c:formatCode>0</c:formatCode>
                <c:ptCount val="5"/>
                <c:pt idx="0" formatCode="General">
                  <c:v>-1</c:v>
                </c:pt>
                <c:pt idx="1">
                  <c:v>-5</c:v>
                </c:pt>
                <c:pt idx="2" formatCode="General">
                  <c:v>-10</c:v>
                </c:pt>
                <c:pt idx="3" formatCode="General">
                  <c:v>-30</c:v>
                </c:pt>
                <c:pt idx="4" formatCode="General">
                  <c:v>-50</c:v>
                </c:pt>
              </c:numCache>
            </c:numRef>
          </c:xVal>
          <c:yVal>
            <c:numRef>
              <c:f>Podmornica!$J$151:$O$151</c:f>
              <c:numCache>
                <c:formatCode>0.0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0D-4A4D-87E8-88A2F9BBC916}"/>
            </c:ext>
          </c:extLst>
        </c:ser>
        <c:ser>
          <c:idx val="3"/>
          <c:order val="3"/>
          <c:tx>
            <c:strRef>
              <c:f>Podmornica!$I$152</c:f>
              <c:strCache>
                <c:ptCount val="1"/>
                <c:pt idx="0">
                  <c:v>balast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Podmornica!$J$148:$O$148</c:f>
              <c:numCache>
                <c:formatCode>0</c:formatCode>
                <c:ptCount val="5"/>
                <c:pt idx="0" formatCode="General">
                  <c:v>-1</c:v>
                </c:pt>
                <c:pt idx="1">
                  <c:v>-5</c:v>
                </c:pt>
                <c:pt idx="2" formatCode="General">
                  <c:v>-10</c:v>
                </c:pt>
                <c:pt idx="3" formatCode="General">
                  <c:v>-30</c:v>
                </c:pt>
                <c:pt idx="4" formatCode="General">
                  <c:v>-50</c:v>
                </c:pt>
              </c:numCache>
            </c:numRef>
          </c:xVal>
          <c:yVal>
            <c:numRef>
              <c:f>Podmornica!$J$152:$O$152</c:f>
              <c:numCache>
                <c:formatCode>0.0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0D-4A4D-87E8-88A2F9BBC916}"/>
            </c:ext>
          </c:extLst>
        </c:ser>
        <c:ser>
          <c:idx val="4"/>
          <c:order val="4"/>
          <c:tx>
            <c:strRef>
              <c:f>Podmornica!$I$153</c:f>
              <c:strCache>
                <c:ptCount val="1"/>
                <c:pt idx="0">
                  <c:v>balast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Podmornica!$J$148:$O$148</c:f>
              <c:numCache>
                <c:formatCode>0</c:formatCode>
                <c:ptCount val="5"/>
                <c:pt idx="0" formatCode="General">
                  <c:v>-1</c:v>
                </c:pt>
                <c:pt idx="1">
                  <c:v>-5</c:v>
                </c:pt>
                <c:pt idx="2" formatCode="General">
                  <c:v>-10</c:v>
                </c:pt>
                <c:pt idx="3" formatCode="General">
                  <c:v>-30</c:v>
                </c:pt>
                <c:pt idx="4" formatCode="General">
                  <c:v>-50</c:v>
                </c:pt>
              </c:numCache>
            </c:numRef>
          </c:xVal>
          <c:yVal>
            <c:numRef>
              <c:f>Podmornica!$J$153:$O$153</c:f>
              <c:numCache>
                <c:formatCode>0.0</c:formatCode>
                <c:ptCount val="5"/>
                <c:pt idx="0">
                  <c:v>91.473102063060566</c:v>
                </c:pt>
                <c:pt idx="1">
                  <c:v>91.035504225212136</c:v>
                </c:pt>
                <c:pt idx="2">
                  <c:v>90.455505919756675</c:v>
                </c:pt>
                <c:pt idx="3">
                  <c:v>87.508225859731681</c:v>
                </c:pt>
                <c:pt idx="4">
                  <c:v>82.331499535408255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0D-4A4D-87E8-88A2F9B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9350368"/>
        <c:axId val="-45254768"/>
      </c:scatterChart>
      <c:valAx>
        <c:axId val="-3293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54768"/>
        <c:crosses val="autoZero"/>
        <c:crossBetween val="midCat"/>
      </c:valAx>
      <c:valAx>
        <c:axId val="-45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35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Podmornica!$M$124:$N$124</c:f>
              <c:numCache>
                <c:formatCode>0.00000</c:formatCode>
                <c:ptCount val="2"/>
                <c:pt idx="0">
                  <c:v>9</c:v>
                </c:pt>
                <c:pt idx="1">
                  <c:v>7.9123269078089367</c:v>
                </c:pt>
              </c:numCache>
            </c:numRef>
          </c:xVal>
          <c:yVal>
            <c:numRef>
              <c:f>Podmornica!$M$125:$N$125</c:f>
              <c:numCache>
                <c:formatCode>0.00000</c:formatCode>
                <c:ptCount val="2"/>
                <c:pt idx="0">
                  <c:v>1.7</c:v>
                </c:pt>
                <c:pt idx="1">
                  <c:v>1.3002966594157845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B-43DB-ABEA-6D30B3D4D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256944"/>
        <c:axId val="-45247152"/>
      </c:scatterChart>
      <c:valAx>
        <c:axId val="-4525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47152"/>
        <c:crosses val="autoZero"/>
        <c:crossBetween val="midCat"/>
      </c:valAx>
      <c:valAx>
        <c:axId val="-4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5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827315</xdr:colOff>
      <xdr:row>115</xdr:row>
      <xdr:rowOff>119743</xdr:rowOff>
    </xdr:from>
    <xdr:to>
      <xdr:col>9</xdr:col>
      <xdr:colOff>1371600</xdr:colOff>
      <xdr:row>117</xdr:row>
      <xdr:rowOff>10886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4554201" y="18864943"/>
          <a:ext cx="544285" cy="3483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914400</xdr:colOff>
      <xdr:row>115</xdr:row>
      <xdr:rowOff>195943</xdr:rowOff>
    </xdr:from>
    <xdr:to>
      <xdr:col>13</xdr:col>
      <xdr:colOff>32657</xdr:colOff>
      <xdr:row>117</xdr:row>
      <xdr:rowOff>10886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16241486" y="18941143"/>
          <a:ext cx="794657" cy="2721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157401</xdr:colOff>
      <xdr:row>155</xdr:row>
      <xdr:rowOff>15504</xdr:rowOff>
    </xdr:from>
    <xdr:to>
      <xdr:col>15</xdr:col>
      <xdr:colOff>500728</xdr:colOff>
      <xdr:row>166</xdr:row>
      <xdr:rowOff>161966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32657</xdr:colOff>
      <xdr:row>135</xdr:row>
      <xdr:rowOff>83126</xdr:rowOff>
    </xdr:from>
    <xdr:to>
      <xdr:col>21</xdr:col>
      <xdr:colOff>484909</xdr:colOff>
      <xdr:row>145</xdr:row>
      <xdr:rowOff>45718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43543</xdr:colOff>
      <xdr:row>145</xdr:row>
      <xdr:rowOff>76200</xdr:rowOff>
    </xdr:from>
    <xdr:to>
      <xdr:col>21</xdr:col>
      <xdr:colOff>526472</xdr:colOff>
      <xdr:row>155</xdr:row>
      <xdr:rowOff>55420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316112</xdr:colOff>
      <xdr:row>122</xdr:row>
      <xdr:rowOff>16009</xdr:rowOff>
    </xdr:from>
    <xdr:to>
      <xdr:col>19</xdr:col>
      <xdr:colOff>697074</xdr:colOff>
      <xdr:row>131</xdr:row>
      <xdr:rowOff>156747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Q233"/>
  <sheetViews>
    <sheetView tabSelected="1" defaultGridColor="0" colorId="8" zoomScale="70" zoomScaleNormal="70" zoomScaleSheetLayoutView="55" workbookViewId="0">
      <selection activeCell="D8" sqref="D8"/>
    </sheetView>
  </sheetViews>
  <sheetFormatPr defaultColWidth="8.85546875" defaultRowHeight="18.75" x14ac:dyDescent="0.3"/>
  <cols>
    <col min="1" max="1" width="8.85546875" style="48"/>
    <col min="2" max="2" width="35.85546875" style="1" customWidth="1"/>
    <col min="3" max="4" width="22.85546875" style="1" customWidth="1"/>
    <col min="5" max="5" width="21.85546875" style="1" customWidth="1"/>
    <col min="6" max="6" width="30.5703125" style="1" customWidth="1"/>
    <col min="7" max="7" width="27.140625" style="1" customWidth="1"/>
    <col min="8" max="8" width="21.5703125" style="1" customWidth="1"/>
    <col min="9" max="9" width="17.140625" style="1" customWidth="1"/>
    <col min="10" max="10" width="23.42578125" style="1" bestFit="1" customWidth="1"/>
    <col min="11" max="11" width="43.5703125" style="1" hidden="1" customWidth="1"/>
    <col min="12" max="12" width="13.85546875" style="1" customWidth="1"/>
    <col min="13" max="13" width="10.42578125" style="1" customWidth="1"/>
    <col min="14" max="14" width="12.85546875" style="1" customWidth="1"/>
    <col min="15" max="15" width="13" style="1" customWidth="1"/>
    <col min="16" max="17" width="8.85546875" style="1"/>
    <col min="18" max="23" width="10.5703125" style="1" bestFit="1" customWidth="1"/>
    <col min="24" max="16384" width="8.85546875" style="1"/>
  </cols>
  <sheetData>
    <row r="2" spans="1:5" x14ac:dyDescent="0.3">
      <c r="A2" s="48">
        <v>1</v>
      </c>
      <c r="B2" s="24" t="s">
        <v>186</v>
      </c>
    </row>
    <row r="3" spans="1:5" x14ac:dyDescent="0.3">
      <c r="B3" s="1" t="s">
        <v>184</v>
      </c>
      <c r="D3" s="1">
        <v>1025</v>
      </c>
      <c r="E3" s="1" t="s">
        <v>2</v>
      </c>
    </row>
    <row r="4" spans="1:5" x14ac:dyDescent="0.3">
      <c r="B4" s="1" t="s">
        <v>185</v>
      </c>
      <c r="D4" s="1">
        <v>7850</v>
      </c>
      <c r="E4" s="1" t="s">
        <v>2</v>
      </c>
    </row>
    <row r="5" spans="1:5" x14ac:dyDescent="0.3">
      <c r="B5" s="1" t="s">
        <v>3</v>
      </c>
      <c r="D5" s="1">
        <v>9.81</v>
      </c>
      <c r="E5" s="1" t="s">
        <v>4</v>
      </c>
    </row>
    <row r="7" spans="1:5" x14ac:dyDescent="0.3">
      <c r="A7" s="48">
        <v>2</v>
      </c>
      <c r="B7" s="25" t="s">
        <v>189</v>
      </c>
    </row>
    <row r="8" spans="1:5" x14ac:dyDescent="0.3">
      <c r="B8" s="1" t="s">
        <v>5</v>
      </c>
      <c r="D8" s="15">
        <v>100</v>
      </c>
      <c r="E8" s="1" t="s">
        <v>0</v>
      </c>
    </row>
    <row r="9" spans="1:5" x14ac:dyDescent="0.3">
      <c r="B9" s="1" t="s">
        <v>191</v>
      </c>
      <c r="D9" s="25">
        <v>2</v>
      </c>
    </row>
    <row r="10" spans="1:5" x14ac:dyDescent="0.3">
      <c r="B10" s="1" t="s">
        <v>109</v>
      </c>
      <c r="D10" s="15">
        <v>24</v>
      </c>
      <c r="E10" s="1" t="s">
        <v>108</v>
      </c>
    </row>
    <row r="11" spans="1:5" x14ac:dyDescent="0.3">
      <c r="B11" s="1" t="s">
        <v>110</v>
      </c>
      <c r="D11" s="15">
        <v>500</v>
      </c>
      <c r="E11" s="1" t="s">
        <v>111</v>
      </c>
    </row>
    <row r="12" spans="1:5" x14ac:dyDescent="0.3">
      <c r="B12" s="1" t="s">
        <v>172</v>
      </c>
      <c r="D12" s="15">
        <v>12</v>
      </c>
      <c r="E12" s="1" t="s">
        <v>108</v>
      </c>
    </row>
    <row r="13" spans="1:5" x14ac:dyDescent="0.3">
      <c r="B13" s="1" t="s">
        <v>190</v>
      </c>
      <c r="D13" s="25">
        <v>10</v>
      </c>
      <c r="E13" s="1" t="s">
        <v>25</v>
      </c>
    </row>
    <row r="15" spans="1:5" x14ac:dyDescent="0.3">
      <c r="A15" s="48">
        <v>3</v>
      </c>
      <c r="B15" s="24" t="s">
        <v>192</v>
      </c>
    </row>
    <row r="16" spans="1:5" x14ac:dyDescent="0.3">
      <c r="B16" s="1" t="s">
        <v>1</v>
      </c>
      <c r="D16" s="1">
        <f>D3*D5*D8</f>
        <v>1005525</v>
      </c>
      <c r="E16" s="1" t="s">
        <v>7</v>
      </c>
    </row>
    <row r="17" spans="1:9" x14ac:dyDescent="0.3">
      <c r="B17" s="1" t="s">
        <v>15</v>
      </c>
      <c r="D17" s="2">
        <f>D16/D18</f>
        <v>10.055249999999999</v>
      </c>
      <c r="E17" s="1" t="s">
        <v>8</v>
      </c>
      <c r="H17" s="2">
        <f>F23+H66</f>
        <v>139.92030343197496</v>
      </c>
    </row>
    <row r="18" spans="1:9" x14ac:dyDescent="0.3">
      <c r="B18" s="1" t="s">
        <v>6</v>
      </c>
      <c r="D18" s="1">
        <v>100000</v>
      </c>
      <c r="E18" s="1" t="s">
        <v>7</v>
      </c>
    </row>
    <row r="20" spans="1:9" x14ac:dyDescent="0.3">
      <c r="A20" s="48">
        <v>4</v>
      </c>
      <c r="B20" s="24" t="s">
        <v>9</v>
      </c>
      <c r="F20" s="1" t="s">
        <v>187</v>
      </c>
    </row>
    <row r="21" spans="1:9" x14ac:dyDescent="0.3">
      <c r="B21" s="1" t="s">
        <v>201</v>
      </c>
      <c r="D21" s="19">
        <v>15</v>
      </c>
      <c r="F21" s="20">
        <f>E152</f>
        <v>11.107419135036581</v>
      </c>
    </row>
    <row r="22" spans="1:9" x14ac:dyDescent="0.3">
      <c r="B22" s="1" t="s">
        <v>202</v>
      </c>
      <c r="D22" s="19">
        <f>D21</f>
        <v>15</v>
      </c>
      <c r="F22" s="20"/>
    </row>
    <row r="23" spans="1:9" x14ac:dyDescent="0.3">
      <c r="B23" s="1" t="s">
        <v>10</v>
      </c>
      <c r="D23" s="15">
        <v>1.5</v>
      </c>
      <c r="E23" s="1" t="s">
        <v>0</v>
      </c>
      <c r="F23" s="2">
        <f>I118</f>
        <v>116.77794964486496</v>
      </c>
      <c r="G23" s="1" t="s">
        <v>221</v>
      </c>
      <c r="I23" s="5"/>
    </row>
    <row r="24" spans="1:9" x14ac:dyDescent="0.3">
      <c r="B24" s="1" t="s">
        <v>155</v>
      </c>
      <c r="D24" s="15">
        <v>1.7</v>
      </c>
      <c r="E24" s="1" t="s">
        <v>0</v>
      </c>
      <c r="F24" s="2">
        <f>I119</f>
        <v>160.68675700446386</v>
      </c>
      <c r="G24" s="1" t="s">
        <v>222</v>
      </c>
      <c r="H24" s="2"/>
      <c r="I24" s="5"/>
    </row>
    <row r="25" spans="1:9" x14ac:dyDescent="0.3">
      <c r="B25" s="1" t="s">
        <v>166</v>
      </c>
      <c r="D25" s="16">
        <f>D24-D23</f>
        <v>0.19999999999999996</v>
      </c>
      <c r="F25" s="2">
        <f>I115</f>
        <v>65.761461756053663</v>
      </c>
      <c r="G25" s="1" t="s">
        <v>229</v>
      </c>
      <c r="I25" s="5"/>
    </row>
    <row r="26" spans="1:9" x14ac:dyDescent="0.3">
      <c r="B26" s="1" t="s">
        <v>212</v>
      </c>
      <c r="D26" s="1">
        <f>D21+2*D23</f>
        <v>18</v>
      </c>
      <c r="I26" s="5"/>
    </row>
    <row r="27" spans="1:9" x14ac:dyDescent="0.3">
      <c r="B27" s="1" t="s">
        <v>213</v>
      </c>
      <c r="D27" s="1">
        <f>D22+2*D24</f>
        <v>18.399999999999999</v>
      </c>
      <c r="E27" s="1">
        <f>D22+2*D24</f>
        <v>18.399999999999999</v>
      </c>
      <c r="I27" s="5"/>
    </row>
    <row r="28" spans="1:9" x14ac:dyDescent="0.3">
      <c r="F28" s="2">
        <f>F23-F24</f>
        <v>-43.908807359598896</v>
      </c>
      <c r="I28" s="5"/>
    </row>
    <row r="29" spans="1:9" x14ac:dyDescent="0.3">
      <c r="B29" s="1" t="s">
        <v>214</v>
      </c>
      <c r="D29" s="5">
        <f>D47/(D26*2*D23*2*D23)</f>
        <v>0.74176493209758998</v>
      </c>
      <c r="I29" s="5"/>
    </row>
    <row r="30" spans="1:9" x14ac:dyDescent="0.3">
      <c r="B30" s="1" t="s">
        <v>215</v>
      </c>
      <c r="D30" s="5">
        <f>D55/(D27*2*D24*2*D24)</f>
        <v>0.75544774430412154</v>
      </c>
      <c r="F30" s="5"/>
      <c r="I30" s="5"/>
    </row>
    <row r="31" spans="1:9" x14ac:dyDescent="0.3">
      <c r="I31" s="5"/>
    </row>
    <row r="32" spans="1:9" x14ac:dyDescent="0.3">
      <c r="I32" s="5"/>
    </row>
    <row r="33" spans="1:9" x14ac:dyDescent="0.3">
      <c r="I33" s="5"/>
    </row>
    <row r="34" spans="1:9" x14ac:dyDescent="0.3">
      <c r="A34" s="48">
        <v>5</v>
      </c>
      <c r="B34" s="24" t="s">
        <v>204</v>
      </c>
      <c r="I34" s="5"/>
    </row>
    <row r="35" spans="1:9" x14ac:dyDescent="0.3">
      <c r="B35" s="1" t="s">
        <v>205</v>
      </c>
      <c r="D35" s="2">
        <f>2*D23*PI()*D21</f>
        <v>141.37166941154069</v>
      </c>
      <c r="E35" s="1" t="s">
        <v>11</v>
      </c>
      <c r="I35" s="5"/>
    </row>
    <row r="36" spans="1:9" x14ac:dyDescent="0.3">
      <c r="B36" s="1" t="s">
        <v>13</v>
      </c>
      <c r="D36" s="2">
        <f>4*D23^2*PI()</f>
        <v>28.274333882308138</v>
      </c>
      <c r="E36" s="1" t="s">
        <v>11</v>
      </c>
      <c r="I36" s="5"/>
    </row>
    <row r="37" spans="1:9" x14ac:dyDescent="0.3">
      <c r="B37" s="1" t="s">
        <v>22</v>
      </c>
      <c r="D37" s="2">
        <f>D35+D36</f>
        <v>169.64600329384882</v>
      </c>
      <c r="E37" s="1" t="s">
        <v>11</v>
      </c>
      <c r="I37" s="5"/>
    </row>
    <row r="38" spans="1:9" x14ac:dyDescent="0.3">
      <c r="I38" s="5"/>
    </row>
    <row r="39" spans="1:9" x14ac:dyDescent="0.3">
      <c r="B39" s="24" t="s">
        <v>203</v>
      </c>
      <c r="I39" s="5"/>
    </row>
    <row r="40" spans="1:9" x14ac:dyDescent="0.3">
      <c r="B40" s="1" t="s">
        <v>206</v>
      </c>
      <c r="D40" s="2">
        <f>2*D24*PI()*D22</f>
        <v>160.22122533307945</v>
      </c>
      <c r="E40" s="1" t="s">
        <v>11</v>
      </c>
      <c r="I40" s="5"/>
    </row>
    <row r="41" spans="1:9" x14ac:dyDescent="0.3">
      <c r="B41" s="1" t="s">
        <v>207</v>
      </c>
      <c r="D41" s="2">
        <f>4*D24^2*PI()</f>
        <v>36.316811075498002</v>
      </c>
      <c r="E41" s="1" t="s">
        <v>11</v>
      </c>
      <c r="I41" s="5"/>
    </row>
    <row r="42" spans="1:9" x14ac:dyDescent="0.3">
      <c r="B42" s="1" t="s">
        <v>22</v>
      </c>
      <c r="D42" s="2">
        <f>D40+D41</f>
        <v>196.53803640857745</v>
      </c>
      <c r="E42" s="1" t="s">
        <v>11</v>
      </c>
      <c r="I42" s="5"/>
    </row>
    <row r="43" spans="1:9" x14ac:dyDescent="0.3">
      <c r="I43" s="5"/>
    </row>
    <row r="44" spans="1:9" x14ac:dyDescent="0.3">
      <c r="A44" s="48">
        <v>6</v>
      </c>
      <c r="B44" s="24" t="s">
        <v>197</v>
      </c>
      <c r="I44" s="5"/>
    </row>
    <row r="45" spans="1:9" x14ac:dyDescent="0.3">
      <c r="B45" s="1" t="s">
        <v>151</v>
      </c>
      <c r="D45" s="2">
        <f>D23^2*PI()*D21</f>
        <v>106.02875205865551</v>
      </c>
      <c r="E45" s="1" t="s">
        <v>12</v>
      </c>
      <c r="I45" s="5"/>
    </row>
    <row r="46" spans="1:9" x14ac:dyDescent="0.3">
      <c r="B46" s="1" t="s">
        <v>91</v>
      </c>
      <c r="D46" s="2">
        <f>4/3*D23^3*PI()</f>
        <v>14.137166941154069</v>
      </c>
      <c r="E46" s="1" t="s">
        <v>12</v>
      </c>
      <c r="G46" s="1">
        <f>F30/D48</f>
        <v>0</v>
      </c>
      <c r="I46" s="5"/>
    </row>
    <row r="47" spans="1:9" x14ac:dyDescent="0.3">
      <c r="B47" s="1" t="s">
        <v>208</v>
      </c>
      <c r="D47" s="20">
        <f>D45+D46</f>
        <v>120.16591899980958</v>
      </c>
      <c r="E47" s="16" t="s">
        <v>12</v>
      </c>
      <c r="F47" s="1">
        <f>F28/(D45*D3/1000)</f>
        <v>-0.40402117356747724</v>
      </c>
      <c r="I47" s="5"/>
    </row>
    <row r="48" spans="1:9" x14ac:dyDescent="0.3">
      <c r="B48" s="1" t="s">
        <v>209</v>
      </c>
      <c r="D48" s="2">
        <f>D47*$D$3/1000</f>
        <v>123.17006697480481</v>
      </c>
      <c r="E48" s="1" t="s">
        <v>30</v>
      </c>
      <c r="I48" s="5"/>
    </row>
    <row r="49" spans="2:43" x14ac:dyDescent="0.3">
      <c r="D49" s="2"/>
      <c r="I49" s="5"/>
    </row>
    <row r="50" spans="2:43" x14ac:dyDescent="0.3">
      <c r="D50" s="2"/>
      <c r="I50" s="5"/>
    </row>
    <row r="51" spans="2:43" x14ac:dyDescent="0.3">
      <c r="B51" s="24" t="s">
        <v>198</v>
      </c>
      <c r="I51" s="5"/>
    </row>
    <row r="52" spans="2:43" x14ac:dyDescent="0.3">
      <c r="B52" s="1" t="s">
        <v>199</v>
      </c>
      <c r="D52" s="2">
        <f>D24^2*PI()*D22</f>
        <v>136.18804153311751</v>
      </c>
      <c r="E52" s="1" t="s">
        <v>12</v>
      </c>
      <c r="I52" s="5"/>
    </row>
    <row r="53" spans="2:43" x14ac:dyDescent="0.3">
      <c r="B53" s="1" t="s">
        <v>200</v>
      </c>
      <c r="D53" s="2">
        <f>4/3*D24^3*PI()</f>
        <v>20.579526276115534</v>
      </c>
      <c r="E53" s="1" t="s">
        <v>12</v>
      </c>
      <c r="I53" s="5"/>
    </row>
    <row r="54" spans="2:43" x14ac:dyDescent="0.3">
      <c r="B54" s="1" t="s">
        <v>210</v>
      </c>
      <c r="D54" s="20">
        <f>D52+D53</f>
        <v>156.76756780923304</v>
      </c>
      <c r="E54" s="16" t="s">
        <v>12</v>
      </c>
      <c r="I54" s="5"/>
    </row>
    <row r="55" spans="2:43" x14ac:dyDescent="0.3">
      <c r="B55" s="1" t="s">
        <v>211</v>
      </c>
      <c r="D55" s="2">
        <f>D54*$D$3/1000</f>
        <v>160.68675700446386</v>
      </c>
      <c r="E55" s="1" t="s">
        <v>30</v>
      </c>
      <c r="I55" s="5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L55" s="2"/>
      <c r="AM55" s="2"/>
      <c r="AN55" s="2"/>
      <c r="AO55" s="2"/>
      <c r="AP55" s="2"/>
      <c r="AQ55" s="2"/>
    </row>
    <row r="56" spans="2:43" x14ac:dyDescent="0.3">
      <c r="D56" s="2"/>
      <c r="I56" s="5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L56" s="2"/>
      <c r="AM56" s="2"/>
      <c r="AN56" s="2"/>
      <c r="AO56" s="2"/>
      <c r="AP56" s="2"/>
      <c r="AQ56" s="2"/>
    </row>
    <row r="57" spans="2:43" x14ac:dyDescent="0.3">
      <c r="D57" s="2"/>
      <c r="I57" s="5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L57" s="2"/>
      <c r="AM57" s="2"/>
      <c r="AN57" s="2"/>
      <c r="AO57" s="2"/>
      <c r="AP57" s="2"/>
      <c r="AQ57" s="2"/>
    </row>
    <row r="58" spans="2:43" ht="19.5" customHeight="1" x14ac:dyDescent="0.3">
      <c r="B58" s="1" t="s">
        <v>14</v>
      </c>
      <c r="F58" s="8" t="s">
        <v>52</v>
      </c>
      <c r="I58" s="5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L58" s="2"/>
      <c r="AM58" s="2"/>
      <c r="AN58" s="2"/>
      <c r="AO58" s="2"/>
      <c r="AP58" s="2"/>
      <c r="AQ58" s="2"/>
    </row>
    <row r="59" spans="2:43" x14ac:dyDescent="0.3">
      <c r="B59" s="1" t="s">
        <v>31</v>
      </c>
      <c r="D59" s="2">
        <f>D60*D61/2/(10*D62*D63-0.5*D60)</f>
        <v>12.11502785352968</v>
      </c>
      <c r="E59" s="2" t="s">
        <v>19</v>
      </c>
      <c r="F59" s="2">
        <f>D60*D61/(20*D62+D60)</f>
        <v>12.017962552816316</v>
      </c>
      <c r="G59" s="1" t="s">
        <v>19</v>
      </c>
      <c r="H59" s="1">
        <v>10</v>
      </c>
      <c r="I59" s="5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L59" s="2"/>
      <c r="AM59" s="2"/>
      <c r="AN59" s="2"/>
      <c r="AO59" s="2"/>
      <c r="AP59" s="2"/>
      <c r="AQ59" s="2"/>
    </row>
    <row r="60" spans="2:43" x14ac:dyDescent="0.3">
      <c r="B60" s="1" t="s">
        <v>15</v>
      </c>
      <c r="D60" s="2">
        <f>D17</f>
        <v>10.055249999999999</v>
      </c>
      <c r="E60" s="1" t="s">
        <v>8</v>
      </c>
      <c r="I60" s="5"/>
      <c r="R60" s="2"/>
      <c r="S60" s="2"/>
      <c r="T60" s="2"/>
      <c r="U60" s="2"/>
      <c r="V60" s="2"/>
      <c r="W60" s="2"/>
      <c r="AA60" s="2"/>
      <c r="AB60" s="2"/>
      <c r="AC60" s="2"/>
      <c r="AD60" s="2"/>
      <c r="AE60" s="2"/>
      <c r="AF60" s="2"/>
      <c r="AL60" s="2"/>
      <c r="AM60" s="2"/>
      <c r="AN60" s="2"/>
      <c r="AO60" s="2"/>
      <c r="AP60" s="2"/>
      <c r="AQ60" s="2"/>
    </row>
    <row r="61" spans="2:43" x14ac:dyDescent="0.3">
      <c r="B61" s="1" t="s">
        <v>51</v>
      </c>
      <c r="D61" s="1">
        <f>D23*2*1000</f>
        <v>3000</v>
      </c>
      <c r="E61" s="1" t="s">
        <v>19</v>
      </c>
      <c r="I61" s="5"/>
      <c r="R61" s="2"/>
      <c r="S61" s="2"/>
      <c r="T61" s="2"/>
      <c r="U61" s="2"/>
      <c r="V61" s="2"/>
      <c r="W61" s="2"/>
      <c r="AA61" s="2"/>
      <c r="AB61" s="2"/>
      <c r="AC61" s="2"/>
      <c r="AD61" s="2"/>
      <c r="AE61" s="2"/>
      <c r="AF61" s="2"/>
      <c r="AL61" s="2"/>
      <c r="AM61" s="2"/>
      <c r="AN61" s="2"/>
      <c r="AO61" s="2"/>
      <c r="AP61" s="2"/>
      <c r="AQ61" s="2"/>
    </row>
    <row r="62" spans="2:43" x14ac:dyDescent="0.3">
      <c r="B62" s="1" t="s">
        <v>16</v>
      </c>
      <c r="D62" s="16">
        <v>125</v>
      </c>
      <c r="E62" s="1" t="s">
        <v>17</v>
      </c>
      <c r="I62" s="5"/>
      <c r="R62" s="2"/>
      <c r="S62" s="2"/>
      <c r="T62" s="2"/>
      <c r="U62" s="2"/>
      <c r="V62" s="2"/>
      <c r="W62" s="2"/>
      <c r="AA62" s="2"/>
      <c r="AB62" s="2"/>
      <c r="AC62" s="2"/>
      <c r="AD62" s="2"/>
      <c r="AE62" s="2"/>
      <c r="AF62" s="2"/>
      <c r="AL62" s="2"/>
      <c r="AM62" s="2"/>
      <c r="AN62" s="2"/>
      <c r="AO62" s="2"/>
      <c r="AP62" s="2"/>
      <c r="AQ62" s="2"/>
    </row>
    <row r="63" spans="2:43" x14ac:dyDescent="0.3">
      <c r="B63" s="1" t="s">
        <v>18</v>
      </c>
      <c r="D63" s="1">
        <v>1</v>
      </c>
      <c r="I63" s="5"/>
      <c r="R63" s="2"/>
      <c r="S63" s="2"/>
      <c r="T63" s="2"/>
      <c r="U63" s="2"/>
      <c r="V63" s="2"/>
      <c r="W63" s="2"/>
      <c r="AA63" s="2"/>
      <c r="AB63" s="2"/>
      <c r="AC63" s="2"/>
      <c r="AD63" s="2"/>
      <c r="AE63" s="2"/>
      <c r="AF63" s="2"/>
      <c r="AL63" s="2"/>
      <c r="AM63" s="2"/>
      <c r="AN63" s="2"/>
      <c r="AO63" s="2"/>
      <c r="AP63" s="2"/>
      <c r="AQ63" s="2"/>
    </row>
    <row r="64" spans="2:43" x14ac:dyDescent="0.3">
      <c r="R64" s="2"/>
      <c r="S64" s="2"/>
      <c r="T64" s="2"/>
      <c r="U64" s="2"/>
      <c r="V64" s="2"/>
      <c r="W64" s="2"/>
      <c r="AA64" s="2"/>
      <c r="AB64" s="2"/>
      <c r="AC64" s="2"/>
      <c r="AD64" s="2"/>
      <c r="AE64" s="2"/>
      <c r="AF64" s="2"/>
      <c r="AL64" s="2"/>
      <c r="AM64" s="2"/>
      <c r="AN64" s="2"/>
      <c r="AO64" s="2"/>
      <c r="AP64" s="2"/>
      <c r="AQ64" s="2"/>
    </row>
    <row r="65" spans="1:43" x14ac:dyDescent="0.3">
      <c r="A65" s="48">
        <v>7</v>
      </c>
      <c r="B65" s="24" t="s">
        <v>60</v>
      </c>
      <c r="R65" s="2"/>
      <c r="S65" s="2"/>
      <c r="T65" s="2"/>
      <c r="U65" s="2"/>
      <c r="V65" s="2"/>
      <c r="W65" s="2"/>
      <c r="AA65" s="2"/>
      <c r="AB65" s="2"/>
      <c r="AC65" s="2"/>
      <c r="AD65" s="2"/>
      <c r="AE65" s="2"/>
      <c r="AF65" s="2"/>
      <c r="AL65" s="2"/>
      <c r="AM65" s="2"/>
      <c r="AN65" s="2"/>
      <c r="AO65" s="2"/>
      <c r="AP65" s="2"/>
      <c r="AQ65" s="2"/>
    </row>
    <row r="66" spans="1:43" x14ac:dyDescent="0.3">
      <c r="B66" s="6" t="s">
        <v>196</v>
      </c>
      <c r="F66" s="2">
        <f>D37*F59/1000*D4/1000*1.5*1.5</f>
        <v>36.01029289801582</v>
      </c>
      <c r="G66" s="1" t="s">
        <v>30</v>
      </c>
      <c r="H66" s="1">
        <f>D42*H59/1000*D4/1000*1.5</f>
        <v>23.142353787109997</v>
      </c>
    </row>
    <row r="69" spans="1:43" x14ac:dyDescent="0.3">
      <c r="A69" s="48">
        <v>8</v>
      </c>
      <c r="B69" s="24" t="s">
        <v>20</v>
      </c>
    </row>
    <row r="70" spans="1:43" x14ac:dyDescent="0.3">
      <c r="B70" s="1" t="s">
        <v>24</v>
      </c>
      <c r="E70" s="47">
        <v>7</v>
      </c>
      <c r="F70" s="1" t="s">
        <v>25</v>
      </c>
      <c r="G70" s="1" t="s">
        <v>72</v>
      </c>
      <c r="H70" s="5">
        <f>1852/3600</f>
        <v>0.51444444444444448</v>
      </c>
    </row>
    <row r="71" spans="1:43" x14ac:dyDescent="0.3">
      <c r="B71" s="1" t="s">
        <v>24</v>
      </c>
      <c r="E71" s="3">
        <f>E70*H70</f>
        <v>3.6011111111111114</v>
      </c>
      <c r="F71" s="1" t="s">
        <v>26</v>
      </c>
    </row>
    <row r="72" spans="1:43" x14ac:dyDescent="0.3">
      <c r="B72" s="1" t="s">
        <v>217</v>
      </c>
      <c r="E72" s="3">
        <f>E71/SQRT(9.08665*D27)</f>
        <v>0.27850032735463787</v>
      </c>
    </row>
    <row r="73" spans="1:43" x14ac:dyDescent="0.3">
      <c r="B73" s="1" t="s">
        <v>21</v>
      </c>
      <c r="E73" s="9">
        <f>0.075/(LOG10(E74)-2)^2</f>
        <v>2.2709551080136265E-3</v>
      </c>
    </row>
    <row r="74" spans="1:43" x14ac:dyDescent="0.3">
      <c r="B74" s="1" t="s">
        <v>218</v>
      </c>
      <c r="E74" s="9">
        <f>E71*(D27)/E75</f>
        <v>55821772.91023121</v>
      </c>
      <c r="G74" s="8"/>
      <c r="H74" s="5"/>
    </row>
    <row r="75" spans="1:43" x14ac:dyDescent="0.3">
      <c r="B75" s="1" t="s">
        <v>69</v>
      </c>
      <c r="E75" s="9">
        <v>1.187E-6</v>
      </c>
      <c r="F75" s="1" t="s">
        <v>27</v>
      </c>
      <c r="G75" s="8"/>
      <c r="H75" s="5"/>
    </row>
    <row r="76" spans="1:43" x14ac:dyDescent="0.3">
      <c r="B76" s="1" t="s">
        <v>67</v>
      </c>
      <c r="E76" s="9">
        <f>E73*(1+E78)</f>
        <v>3.5548133355592349E-3</v>
      </c>
      <c r="G76" s="8"/>
      <c r="H76" s="5"/>
    </row>
    <row r="77" spans="1:43" x14ac:dyDescent="0.3">
      <c r="B77" s="10" t="s">
        <v>71</v>
      </c>
      <c r="E77" s="9"/>
      <c r="G77" s="8"/>
      <c r="H77" s="5"/>
    </row>
    <row r="78" spans="1:43" x14ac:dyDescent="0.3">
      <c r="B78" s="10" t="s">
        <v>216</v>
      </c>
      <c r="E78" s="3">
        <f>-0.095+25.6*D30/(D27/(2*D24))^2</f>
        <v>0.56533844417055934</v>
      </c>
      <c r="H78" s="5"/>
    </row>
    <row r="79" spans="1:43" x14ac:dyDescent="0.3">
      <c r="B79" s="1" t="s">
        <v>68</v>
      </c>
      <c r="E79" s="2">
        <f>E76*0.5*D3*E71^2*D42/1000</f>
        <v>4.6433383014425029</v>
      </c>
      <c r="F79" s="1" t="s">
        <v>29</v>
      </c>
      <c r="H79" s="3"/>
    </row>
    <row r="80" spans="1:43" x14ac:dyDescent="0.3">
      <c r="B80" s="1" t="s">
        <v>23</v>
      </c>
      <c r="E80" s="2">
        <f>E79*E71</f>
        <v>16.721177149972391</v>
      </c>
      <c r="F80" s="1" t="s">
        <v>28</v>
      </c>
      <c r="H80" s="3"/>
    </row>
    <row r="81" spans="1:32" x14ac:dyDescent="0.3">
      <c r="B81" s="1" t="s">
        <v>70</v>
      </c>
      <c r="E81" s="2">
        <f>E80/(0.5*0.98)</f>
        <v>34.124851326474271</v>
      </c>
      <c r="F81" s="1" t="s">
        <v>28</v>
      </c>
    </row>
    <row r="82" spans="1:32" x14ac:dyDescent="0.3">
      <c r="B82" s="12" t="s">
        <v>85</v>
      </c>
      <c r="E82" s="13">
        <f>E81/E83</f>
        <v>34.124851326474271</v>
      </c>
      <c r="F82" s="1" t="s">
        <v>28</v>
      </c>
      <c r="N82" s="12"/>
      <c r="O82" s="12"/>
    </row>
    <row r="83" spans="1:32" x14ac:dyDescent="0.3">
      <c r="B83" s="1" t="s">
        <v>219</v>
      </c>
      <c r="E83" s="16">
        <v>1</v>
      </c>
    </row>
    <row r="84" spans="1:32" x14ac:dyDescent="0.3">
      <c r="B84" s="1" t="s">
        <v>90</v>
      </c>
      <c r="E84" s="2">
        <f>E82*E174</f>
        <v>3.4124851326474275</v>
      </c>
      <c r="F84" s="1" t="s">
        <v>30</v>
      </c>
    </row>
    <row r="85" spans="1:32" x14ac:dyDescent="0.3">
      <c r="E85" s="2"/>
    </row>
    <row r="86" spans="1:32" x14ac:dyDescent="0.3">
      <c r="E86" s="1" t="s">
        <v>173</v>
      </c>
      <c r="F86" s="1" t="s">
        <v>174</v>
      </c>
    </row>
    <row r="87" spans="1:32" x14ac:dyDescent="0.3">
      <c r="A87" s="48">
        <v>9</v>
      </c>
      <c r="B87" s="24" t="s">
        <v>171</v>
      </c>
      <c r="E87" s="2"/>
    </row>
    <row r="88" spans="1:32" x14ac:dyDescent="0.3">
      <c r="B88" s="1" t="s">
        <v>167</v>
      </c>
      <c r="C88" s="1">
        <v>0.02</v>
      </c>
      <c r="D88" s="1" t="s">
        <v>168</v>
      </c>
      <c r="F88" s="2">
        <f>C88*C161*E82</f>
        <v>8.1899643183538249</v>
      </c>
    </row>
    <row r="89" spans="1:32" x14ac:dyDescent="0.3">
      <c r="B89" s="1" t="s">
        <v>169</v>
      </c>
      <c r="C89" s="1">
        <v>17.5</v>
      </c>
      <c r="D89" s="1" t="s">
        <v>170</v>
      </c>
      <c r="E89" s="2">
        <f>C89*C161*E82/1000</f>
        <v>7.166218778559597</v>
      </c>
    </row>
    <row r="91" spans="1:32" ht="19.5" thickBot="1" x14ac:dyDescent="0.35">
      <c r="A91" s="48">
        <v>10</v>
      </c>
      <c r="B91" s="24" t="s">
        <v>188</v>
      </c>
    </row>
    <row r="92" spans="1:32" x14ac:dyDescent="0.3">
      <c r="B92" s="26"/>
      <c r="C92" s="27"/>
      <c r="D92" s="27" t="s">
        <v>176</v>
      </c>
      <c r="E92" s="27"/>
      <c r="F92" s="28"/>
      <c r="G92" s="27"/>
      <c r="H92" s="28"/>
      <c r="I92" s="27" t="s">
        <v>64</v>
      </c>
      <c r="J92" s="27" t="s">
        <v>32</v>
      </c>
      <c r="K92" s="28"/>
      <c r="L92" s="29" t="s">
        <v>33</v>
      </c>
      <c r="M92" s="28"/>
      <c r="N92" s="27" t="s">
        <v>66</v>
      </c>
      <c r="O92" s="27" t="s">
        <v>65</v>
      </c>
      <c r="P92" s="30"/>
    </row>
    <row r="93" spans="1:32" x14ac:dyDescent="0.3">
      <c r="B93" s="31"/>
      <c r="C93" s="32"/>
      <c r="D93" s="32"/>
      <c r="E93" s="33"/>
      <c r="F93" s="32"/>
      <c r="G93" s="32"/>
      <c r="H93" s="32"/>
      <c r="I93" s="33"/>
      <c r="J93" s="32"/>
      <c r="K93" s="32"/>
      <c r="L93" s="34"/>
      <c r="M93" s="32"/>
      <c r="N93" s="33"/>
      <c r="O93" s="33"/>
      <c r="P93" s="35"/>
      <c r="R93" s="2"/>
      <c r="S93" s="2"/>
      <c r="T93" s="2"/>
      <c r="U93" s="2"/>
      <c r="V93" s="2"/>
      <c r="W93" s="2"/>
      <c r="AA93" s="2"/>
      <c r="AB93" s="2"/>
      <c r="AC93" s="2"/>
      <c r="AD93" s="2"/>
      <c r="AE93" s="2"/>
      <c r="AF93" s="2"/>
    </row>
    <row r="94" spans="1:32" x14ac:dyDescent="0.3">
      <c r="B94" s="31" t="s">
        <v>153</v>
      </c>
      <c r="C94" s="32"/>
      <c r="D94" s="32" t="s">
        <v>48</v>
      </c>
      <c r="E94" s="33"/>
      <c r="F94" s="32"/>
      <c r="G94" s="32"/>
      <c r="H94" s="32"/>
      <c r="I94" s="33">
        <f>F66</f>
        <v>36.01029289801582</v>
      </c>
      <c r="J94" s="32">
        <f>D23+D25</f>
        <v>1.7</v>
      </c>
      <c r="K94" s="32" t="s">
        <v>61</v>
      </c>
      <c r="L94" s="34">
        <f>D26/2</f>
        <v>9</v>
      </c>
      <c r="M94" s="32"/>
      <c r="N94" s="33">
        <f>I94*J94</f>
        <v>61.217497926626891</v>
      </c>
      <c r="O94" s="33">
        <f>I94*L94</f>
        <v>324.09263608214235</v>
      </c>
      <c r="P94" s="35"/>
      <c r="R94" s="2"/>
      <c r="S94" s="2"/>
      <c r="T94" s="2"/>
      <c r="U94" s="2"/>
      <c r="V94" s="2"/>
      <c r="W94" s="2"/>
      <c r="AA94" s="2"/>
      <c r="AB94" s="2"/>
      <c r="AC94" s="2"/>
      <c r="AD94" s="2"/>
      <c r="AE94" s="2"/>
      <c r="AF94" s="2"/>
    </row>
    <row r="95" spans="1:32" x14ac:dyDescent="0.3">
      <c r="B95" s="31" t="s">
        <v>152</v>
      </c>
      <c r="C95" s="32"/>
      <c r="D95" s="32"/>
      <c r="E95" s="33"/>
      <c r="F95" s="32"/>
      <c r="G95" s="32"/>
      <c r="H95" s="32"/>
      <c r="I95" s="33">
        <f>5*156/1000</f>
        <v>0.78</v>
      </c>
      <c r="J95" s="32">
        <f>D23/2+D25</f>
        <v>0.95</v>
      </c>
      <c r="K95" s="32"/>
      <c r="L95" s="34">
        <f>E222</f>
        <v>12.307419135036582</v>
      </c>
      <c r="M95" s="32"/>
      <c r="N95" s="33">
        <f t="shared" ref="N95:N113" si="0">I95*J95</f>
        <v>0.74099999999999999</v>
      </c>
      <c r="O95" s="33">
        <f t="shared" ref="O95:O113" si="1">I95*L95</f>
        <v>9.5997869253285337</v>
      </c>
      <c r="P95" s="35"/>
      <c r="R95" s="2"/>
      <c r="S95" s="2"/>
      <c r="T95" s="2"/>
      <c r="U95" s="2"/>
      <c r="V95" s="2"/>
      <c r="W95" s="2"/>
      <c r="AA95" s="2"/>
      <c r="AB95" s="2"/>
      <c r="AC95" s="2"/>
      <c r="AD95" s="2"/>
      <c r="AE95" s="2"/>
      <c r="AF95" s="2"/>
    </row>
    <row r="96" spans="1:32" x14ac:dyDescent="0.3">
      <c r="B96" s="31" t="s">
        <v>161</v>
      </c>
      <c r="C96" s="32"/>
      <c r="D96" s="32"/>
      <c r="E96" s="33"/>
      <c r="F96" s="32"/>
      <c r="G96" s="32"/>
      <c r="H96" s="32"/>
      <c r="I96" s="33">
        <v>1</v>
      </c>
      <c r="J96" s="32">
        <f>D23/2+D25</f>
        <v>0.95</v>
      </c>
      <c r="K96" s="32"/>
      <c r="L96" s="34">
        <f>E213</f>
        <v>9.6987637162076776</v>
      </c>
      <c r="M96" s="32"/>
      <c r="N96" s="33">
        <f t="shared" si="0"/>
        <v>0.95</v>
      </c>
      <c r="O96" s="33">
        <f t="shared" si="1"/>
        <v>9.6987637162076776</v>
      </c>
      <c r="P96" s="35"/>
      <c r="R96" s="2"/>
      <c r="S96" s="2"/>
      <c r="T96" s="2"/>
      <c r="U96" s="2"/>
      <c r="V96" s="2"/>
      <c r="W96" s="2"/>
      <c r="AA96" s="2"/>
      <c r="AB96" s="2"/>
      <c r="AC96" s="2"/>
      <c r="AD96" s="2"/>
      <c r="AE96" s="2"/>
      <c r="AF96" s="2"/>
    </row>
    <row r="97" spans="2:32" x14ac:dyDescent="0.3">
      <c r="B97" s="31" t="s">
        <v>162</v>
      </c>
      <c r="C97" s="32"/>
      <c r="D97" s="32"/>
      <c r="E97" s="33"/>
      <c r="F97" s="32"/>
      <c r="G97" s="32"/>
      <c r="H97" s="32"/>
      <c r="I97" s="33">
        <f>E84</f>
        <v>3.4124851326474275</v>
      </c>
      <c r="J97" s="32">
        <f>D23+D25</f>
        <v>1.7</v>
      </c>
      <c r="K97" s="32"/>
      <c r="L97" s="34">
        <f>E204</f>
        <v>7.4450541486893869</v>
      </c>
      <c r="M97" s="32"/>
      <c r="N97" s="33">
        <f t="shared" si="0"/>
        <v>5.8012247255006262</v>
      </c>
      <c r="O97" s="33">
        <f t="shared" si="1"/>
        <v>25.406136594157584</v>
      </c>
      <c r="P97" s="35"/>
      <c r="R97" s="2"/>
      <c r="S97" s="2"/>
      <c r="T97" s="2"/>
      <c r="U97" s="2"/>
      <c r="V97" s="2"/>
      <c r="W97" s="2"/>
      <c r="AA97" s="2"/>
      <c r="AB97" s="2"/>
      <c r="AC97" s="2"/>
      <c r="AD97" s="2"/>
      <c r="AE97" s="2"/>
      <c r="AF97" s="2"/>
    </row>
    <row r="98" spans="2:32" x14ac:dyDescent="0.3">
      <c r="B98" s="31" t="s">
        <v>163</v>
      </c>
      <c r="C98" s="32"/>
      <c r="D98" s="32"/>
      <c r="E98" s="33"/>
      <c r="F98" s="32"/>
      <c r="G98" s="32"/>
      <c r="H98" s="32"/>
      <c r="I98" s="33">
        <f>F168</f>
        <v>2.0474910795884562</v>
      </c>
      <c r="J98" s="32">
        <f>D23/2+D25</f>
        <v>0.95</v>
      </c>
      <c r="K98" s="32"/>
      <c r="L98" s="34">
        <f>E204</f>
        <v>7.4450541486893869</v>
      </c>
      <c r="M98" s="32"/>
      <c r="N98" s="33">
        <f t="shared" si="0"/>
        <v>1.9451165256090333</v>
      </c>
      <c r="O98" s="33">
        <f t="shared" si="1"/>
        <v>15.243681956494548</v>
      </c>
      <c r="P98" s="35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</row>
    <row r="99" spans="2:32" x14ac:dyDescent="0.3">
      <c r="B99" s="31" t="s">
        <v>177</v>
      </c>
      <c r="C99" s="32"/>
      <c r="D99" s="32" t="s">
        <v>48</v>
      </c>
      <c r="E99" s="32"/>
      <c r="F99" s="32" t="s">
        <v>232</v>
      </c>
      <c r="G99" s="33">
        <f>D23+G100</f>
        <v>1.8882285676537811</v>
      </c>
      <c r="H99" s="32" t="s">
        <v>0</v>
      </c>
      <c r="I99" s="33"/>
      <c r="J99" s="32">
        <f>D23/2+D25</f>
        <v>0.95</v>
      </c>
      <c r="K99" s="32" t="s">
        <v>61</v>
      </c>
      <c r="L99" s="34">
        <f>E195</f>
        <v>6.55</v>
      </c>
      <c r="M99" s="32"/>
      <c r="N99" s="33">
        <f t="shared" si="0"/>
        <v>0</v>
      </c>
      <c r="O99" s="33">
        <f t="shared" si="1"/>
        <v>0</v>
      </c>
      <c r="P99" s="35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</row>
    <row r="100" spans="2:32" x14ac:dyDescent="0.3">
      <c r="B100" s="31" t="s">
        <v>165</v>
      </c>
      <c r="C100" s="32"/>
      <c r="D100" s="32"/>
      <c r="E100" s="33"/>
      <c r="F100" s="32" t="s">
        <v>231</v>
      </c>
      <c r="G100" s="33">
        <f>D23*COS(H101/2)</f>
        <v>0.38822856765378111</v>
      </c>
      <c r="H100" s="32" t="s">
        <v>0</v>
      </c>
      <c r="I100" s="33">
        <f>2*100/1000</f>
        <v>0.2</v>
      </c>
      <c r="J100" s="32">
        <f>D23/2+D25</f>
        <v>0.95</v>
      </c>
      <c r="K100" s="32"/>
      <c r="L100" s="34">
        <f>E185</f>
        <v>3.75</v>
      </c>
      <c r="M100" s="32"/>
      <c r="N100" s="33">
        <f t="shared" si="0"/>
        <v>0.19</v>
      </c>
      <c r="O100" s="33">
        <f t="shared" si="1"/>
        <v>0.75</v>
      </c>
      <c r="P100" s="35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</row>
    <row r="101" spans="2:32" x14ac:dyDescent="0.3">
      <c r="B101" s="31" t="s">
        <v>164</v>
      </c>
      <c r="C101" s="32"/>
      <c r="D101" s="32"/>
      <c r="E101" s="33"/>
      <c r="F101" s="32" t="s">
        <v>235</v>
      </c>
      <c r="G101" s="32">
        <v>150</v>
      </c>
      <c r="H101" s="51">
        <f>G101/180*PI()</f>
        <v>2.6179938779914944</v>
      </c>
      <c r="I101" s="33">
        <f>4*100/1000</f>
        <v>0.4</v>
      </c>
      <c r="J101" s="32">
        <f>D23/2+D25</f>
        <v>0.95</v>
      </c>
      <c r="K101" s="32"/>
      <c r="L101" s="34">
        <f>E185</f>
        <v>3.75</v>
      </c>
      <c r="M101" s="32"/>
      <c r="N101" s="33">
        <f t="shared" si="0"/>
        <v>0.38</v>
      </c>
      <c r="O101" s="33">
        <f t="shared" si="1"/>
        <v>1.5</v>
      </c>
      <c r="P101" s="35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</row>
    <row r="102" spans="2:32" x14ac:dyDescent="0.3">
      <c r="B102" s="31" t="s">
        <v>175</v>
      </c>
      <c r="C102" s="32"/>
      <c r="D102" s="32"/>
      <c r="E102" s="33"/>
      <c r="I102" s="33">
        <f>E89</f>
        <v>7.166218778559597</v>
      </c>
      <c r="J102" s="32">
        <f>D23/2+D25</f>
        <v>0.95</v>
      </c>
      <c r="K102" s="32"/>
      <c r="L102" s="34">
        <f>D26/2</f>
        <v>9</v>
      </c>
      <c r="M102" s="32"/>
      <c r="N102" s="33"/>
      <c r="O102" s="33"/>
      <c r="P102" s="35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</row>
    <row r="103" spans="2:32" x14ac:dyDescent="0.3">
      <c r="B103" s="31"/>
      <c r="C103" s="32"/>
      <c r="D103" s="32"/>
      <c r="E103" s="33"/>
      <c r="F103" s="32" t="s">
        <v>237</v>
      </c>
      <c r="G103" s="32" t="s">
        <v>236</v>
      </c>
      <c r="H103" s="32"/>
      <c r="I103" s="32"/>
      <c r="J103" s="32"/>
      <c r="K103" s="32"/>
      <c r="L103" s="32"/>
      <c r="M103" s="32"/>
      <c r="N103" s="33"/>
      <c r="O103" s="33"/>
      <c r="P103" s="35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</row>
    <row r="104" spans="2:32" x14ac:dyDescent="0.3">
      <c r="B104" s="31" t="s">
        <v>160</v>
      </c>
      <c r="C104" s="32"/>
      <c r="D104" s="33">
        <v>95.54095101209974</v>
      </c>
      <c r="E104" s="33"/>
      <c r="F104" s="34">
        <f>1/2*D23^2*(H101-SIN(H101))</f>
        <v>2.3827431127404313</v>
      </c>
      <c r="G104" s="52">
        <f>F104*E145</f>
        <v>9.7692467622357668</v>
      </c>
      <c r="H104" s="32"/>
      <c r="I104" s="33">
        <f>E224*$D$3/1000*D104/100+G104</f>
        <v>11.738235681032627</v>
      </c>
      <c r="J104" s="34">
        <f>$D$24*D104/100</f>
        <v>1.6241961672056957</v>
      </c>
      <c r="K104" s="37"/>
      <c r="L104" s="34">
        <f>E222</f>
        <v>12.307419135036582</v>
      </c>
      <c r="M104" s="32"/>
      <c r="N104" s="33">
        <f t="shared" si="0"/>
        <v>19.065197402890334</v>
      </c>
      <c r="O104" s="33">
        <f t="shared" si="1"/>
        <v>144.46738643231012</v>
      </c>
      <c r="P104" s="35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</row>
    <row r="105" spans="2:32" x14ac:dyDescent="0.3">
      <c r="B105" s="31" t="s">
        <v>159</v>
      </c>
      <c r="C105" s="32"/>
      <c r="D105" s="33">
        <v>96.792371598341703</v>
      </c>
      <c r="E105" s="33"/>
      <c r="F105" s="34">
        <f>1/2*D23^2*(H101-SIN(H101))</f>
        <v>2.3827431127404313</v>
      </c>
      <c r="G105" s="52">
        <f>F105*E146</f>
        <v>3.5741146691106467</v>
      </c>
      <c r="H105" s="32"/>
      <c r="I105" s="33">
        <f>E215*$D$3/1000*D105/100+G105</f>
        <v>11.98671884080882</v>
      </c>
      <c r="J105" s="34">
        <f t="shared" ref="J105:J113" si="2">$D$24*D105/100</f>
        <v>1.6454703171718088</v>
      </c>
      <c r="K105" s="37"/>
      <c r="L105" s="34">
        <f>E213</f>
        <v>9.6987637162076776</v>
      </c>
      <c r="M105" s="32"/>
      <c r="N105" s="33">
        <f t="shared" si="0"/>
        <v>19.723790052834985</v>
      </c>
      <c r="O105" s="33">
        <f t="shared" si="1"/>
        <v>116.25635376961954</v>
      </c>
      <c r="P105" s="35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</row>
    <row r="106" spans="2:32" x14ac:dyDescent="0.3">
      <c r="B106" s="31" t="s">
        <v>158</v>
      </c>
      <c r="C106" s="32"/>
      <c r="D106" s="33">
        <v>88.855376333539581</v>
      </c>
      <c r="E106" s="33"/>
      <c r="F106" s="34">
        <f>1/2*D23^2*(H101-SIN(H101))</f>
        <v>2.3827431127404313</v>
      </c>
      <c r="G106" s="52">
        <f>F106*E147</f>
        <v>0.6912535475281284</v>
      </c>
      <c r="H106" s="32"/>
      <c r="I106" s="33">
        <f>E206*$D$3/1000*D106/100+G106</f>
        <v>1.2225018714831162</v>
      </c>
      <c r="J106" s="34">
        <f t="shared" si="2"/>
        <v>1.5105413976701729</v>
      </c>
      <c r="K106" s="37"/>
      <c r="L106" s="34">
        <f>E204</f>
        <v>7.4450541486893869</v>
      </c>
      <c r="M106" s="32"/>
      <c r="N106" s="33">
        <f t="shared" si="0"/>
        <v>1.8466396856045084</v>
      </c>
      <c r="O106" s="33">
        <f t="shared" si="1"/>
        <v>9.1015926300659142</v>
      </c>
      <c r="P106" s="35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</row>
    <row r="107" spans="2:32" x14ac:dyDescent="0.3">
      <c r="B107" s="31" t="s">
        <v>42</v>
      </c>
      <c r="C107" s="32"/>
      <c r="D107" s="33">
        <v>59.882015673193131</v>
      </c>
      <c r="E107" s="33"/>
      <c r="F107" s="34">
        <f>1/2*D23^2*(H101-SIN(H101))</f>
        <v>2.3827431127404313</v>
      </c>
      <c r="G107" s="52">
        <f>F107*E148</f>
        <v>10.048768352714717</v>
      </c>
      <c r="H107" s="32"/>
      <c r="I107" s="33">
        <f>E197*$D$3/1000*D107/100+G107</f>
        <v>11.591392536987346</v>
      </c>
      <c r="J107" s="34">
        <f t="shared" si="2"/>
        <v>1.0179942664442831</v>
      </c>
      <c r="K107" s="37" t="s">
        <v>63</v>
      </c>
      <c r="L107" s="34">
        <f>E195</f>
        <v>6.55</v>
      </c>
      <c r="M107" s="32"/>
      <c r="N107" s="33">
        <f t="shared" si="0"/>
        <v>11.799971142758171</v>
      </c>
      <c r="O107" s="33">
        <f t="shared" si="1"/>
        <v>75.923621117267118</v>
      </c>
      <c r="P107" s="35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</row>
    <row r="108" spans="2:32" x14ac:dyDescent="0.3">
      <c r="B108" s="31" t="s">
        <v>41</v>
      </c>
      <c r="C108" s="32"/>
      <c r="D108" s="33">
        <v>18.072422424643964</v>
      </c>
      <c r="E108" s="33"/>
      <c r="F108" s="34">
        <f>1/2*D23^2*(H101-SIN(H101))</f>
        <v>2.3827431127404313</v>
      </c>
      <c r="G108" s="52">
        <f>F108*E149</f>
        <v>2.3827431127404313</v>
      </c>
      <c r="H108" s="32"/>
      <c r="I108" s="33">
        <f>E187*$D$3/1000*D108/100+G108</f>
        <v>3.9097955061196483</v>
      </c>
      <c r="J108" s="34">
        <f t="shared" si="2"/>
        <v>0.30723118121894738</v>
      </c>
      <c r="K108" s="37" t="s">
        <v>62</v>
      </c>
      <c r="L108" s="34">
        <f>E185</f>
        <v>3.75</v>
      </c>
      <c r="M108" s="32"/>
      <c r="N108" s="33">
        <f t="shared" si="0"/>
        <v>1.2012110916696717</v>
      </c>
      <c r="O108" s="33">
        <f t="shared" si="1"/>
        <v>14.661733147948681</v>
      </c>
      <c r="P108" s="35"/>
      <c r="R108" s="2"/>
      <c r="S108" s="2"/>
      <c r="T108" s="2"/>
      <c r="U108" s="2"/>
      <c r="V108" s="2"/>
      <c r="W108" s="2"/>
      <c r="AA108" s="2"/>
      <c r="AB108" s="2"/>
      <c r="AC108" s="2"/>
      <c r="AD108" s="2"/>
      <c r="AE108" s="2"/>
      <c r="AF108" s="2"/>
    </row>
    <row r="109" spans="2:32" x14ac:dyDescent="0.3">
      <c r="B109" s="31"/>
      <c r="C109" s="32"/>
      <c r="D109" s="33"/>
      <c r="E109" s="33"/>
      <c r="F109" s="32"/>
      <c r="G109" s="36"/>
      <c r="H109" s="32"/>
      <c r="I109" s="33"/>
      <c r="J109" s="34"/>
      <c r="K109" s="37"/>
      <c r="L109" s="34"/>
      <c r="M109" s="32"/>
      <c r="N109" s="33"/>
      <c r="O109" s="33"/>
      <c r="P109" s="35"/>
      <c r="R109" s="2"/>
      <c r="S109" s="2"/>
      <c r="T109" s="2"/>
      <c r="U109" s="2"/>
      <c r="V109" s="2"/>
      <c r="W109" s="2"/>
      <c r="AA109" s="2"/>
      <c r="AB109" s="2"/>
      <c r="AC109" s="2"/>
      <c r="AD109" s="2"/>
      <c r="AE109" s="2"/>
      <c r="AF109" s="2"/>
    </row>
    <row r="110" spans="2:32" x14ac:dyDescent="0.3">
      <c r="B110" s="31" t="s">
        <v>239</v>
      </c>
      <c r="C110" s="32"/>
      <c r="D110" s="33">
        <v>62.707894819637026</v>
      </c>
      <c r="E110" s="33"/>
      <c r="F110" s="32"/>
      <c r="G110" s="36">
        <v>1.2</v>
      </c>
      <c r="H110" s="32"/>
      <c r="I110" s="33">
        <f>D53/2*D3/1000*G110</f>
        <v>12.656408659811053</v>
      </c>
      <c r="J110" s="34">
        <f t="shared" si="2"/>
        <v>1.0660342119338295</v>
      </c>
      <c r="K110" s="37"/>
      <c r="L110" s="34">
        <f>D24/2</f>
        <v>0.85</v>
      </c>
      <c r="M110" s="32"/>
      <c r="N110" s="33">
        <f t="shared" si="0"/>
        <v>13.492164631574171</v>
      </c>
      <c r="O110" s="33">
        <f t="shared" si="1"/>
        <v>10.757947360839395</v>
      </c>
      <c r="P110" s="35"/>
      <c r="R110" s="2"/>
      <c r="S110" s="2"/>
      <c r="T110" s="2"/>
      <c r="U110" s="2"/>
      <c r="V110" s="2"/>
      <c r="W110" s="2"/>
      <c r="AA110" s="2"/>
      <c r="AB110" s="2"/>
      <c r="AC110" s="2"/>
      <c r="AD110" s="2"/>
      <c r="AE110" s="2"/>
      <c r="AF110" s="2"/>
    </row>
    <row r="111" spans="2:32" x14ac:dyDescent="0.3">
      <c r="B111" s="31" t="s">
        <v>238</v>
      </c>
      <c r="C111" s="32"/>
      <c r="D111" s="33">
        <v>62.707894819637026</v>
      </c>
      <c r="E111" s="33"/>
      <c r="F111" s="32"/>
      <c r="G111" s="36"/>
      <c r="H111" s="32"/>
      <c r="I111" s="33">
        <f>D53/2*D3/1000*G110</f>
        <v>12.656408659811053</v>
      </c>
      <c r="J111" s="34">
        <f t="shared" si="2"/>
        <v>1.0660342119338295</v>
      </c>
      <c r="K111" s="37"/>
      <c r="L111" s="34">
        <f>D24+E145+E146+E147+E148+E149/2+D24/2</f>
        <v>13.157419135036582</v>
      </c>
      <c r="M111" s="32"/>
      <c r="N111" s="33">
        <f t="shared" si="0"/>
        <v>13.492164631574171</v>
      </c>
      <c r="O111" s="33">
        <f t="shared" si="1"/>
        <v>166.52567348144063</v>
      </c>
      <c r="P111" s="35"/>
      <c r="R111" s="2"/>
      <c r="S111" s="2"/>
      <c r="T111" s="2"/>
      <c r="U111" s="2"/>
      <c r="V111" s="2"/>
      <c r="W111" s="2"/>
      <c r="AA111" s="2"/>
      <c r="AB111" s="2"/>
      <c r="AC111" s="2"/>
      <c r="AD111" s="2"/>
      <c r="AE111" s="2"/>
      <c r="AF111" s="2"/>
    </row>
    <row r="112" spans="2:32" x14ac:dyDescent="0.3">
      <c r="B112" s="31" t="s">
        <v>233</v>
      </c>
      <c r="C112" s="32"/>
      <c r="D112" s="33">
        <v>100</v>
      </c>
      <c r="E112" s="33"/>
      <c r="F112" s="32"/>
      <c r="G112" s="36"/>
      <c r="H112" s="32"/>
      <c r="I112" s="33">
        <f>D24^2*PI()*E150*D3/1000</f>
        <v>0</v>
      </c>
      <c r="J112" s="34">
        <f t="shared" si="2"/>
        <v>1.7</v>
      </c>
      <c r="K112" s="37"/>
      <c r="L112" s="34">
        <f>D24+E149/2</f>
        <v>2.2000000000000002</v>
      </c>
      <c r="M112" s="32"/>
      <c r="N112" s="33">
        <f t="shared" si="0"/>
        <v>0</v>
      </c>
      <c r="O112" s="33">
        <f t="shared" si="1"/>
        <v>0</v>
      </c>
      <c r="P112" s="35"/>
      <c r="R112" s="2"/>
      <c r="S112" s="2"/>
      <c r="T112" s="2"/>
      <c r="U112" s="2"/>
      <c r="V112" s="2"/>
      <c r="W112" s="2"/>
      <c r="AA112" s="2"/>
      <c r="AB112" s="2"/>
      <c r="AC112" s="2"/>
      <c r="AD112" s="2"/>
      <c r="AE112" s="2"/>
      <c r="AF112" s="2"/>
    </row>
    <row r="113" spans="1:32" x14ac:dyDescent="0.3">
      <c r="B113" s="31" t="s">
        <v>234</v>
      </c>
      <c r="C113" s="32"/>
      <c r="D113" s="33">
        <v>100</v>
      </c>
      <c r="E113" s="33"/>
      <c r="F113" s="32"/>
      <c r="G113" s="36"/>
      <c r="H113" s="32"/>
      <c r="I113" s="33">
        <f>D24^2*PI()*E151*D3/1000</f>
        <v>0</v>
      </c>
      <c r="J113" s="34">
        <f t="shared" si="2"/>
        <v>1.7</v>
      </c>
      <c r="K113" s="37"/>
      <c r="L113" s="34">
        <f>D24+E150/2</f>
        <v>1.7</v>
      </c>
      <c r="M113" s="32"/>
      <c r="N113" s="33">
        <f t="shared" si="0"/>
        <v>0</v>
      </c>
      <c r="O113" s="33">
        <f t="shared" si="1"/>
        <v>0</v>
      </c>
      <c r="P113" s="35"/>
      <c r="R113" s="2"/>
      <c r="S113" s="2"/>
      <c r="T113" s="2"/>
      <c r="U113" s="2"/>
      <c r="V113" s="2"/>
      <c r="W113" s="2"/>
      <c r="AA113" s="2"/>
      <c r="AB113" s="2"/>
      <c r="AC113" s="2"/>
      <c r="AD113" s="2"/>
      <c r="AE113" s="2"/>
      <c r="AF113" s="2"/>
    </row>
    <row r="114" spans="1:32" x14ac:dyDescent="0.3">
      <c r="B114" s="31"/>
      <c r="C114" s="32"/>
      <c r="D114" s="33"/>
      <c r="E114" s="33"/>
      <c r="F114" s="32"/>
      <c r="G114" s="36"/>
      <c r="H114" s="32"/>
      <c r="I114" s="33"/>
      <c r="J114" s="34"/>
      <c r="K114" s="37"/>
      <c r="L114" s="34"/>
      <c r="M114" s="32"/>
      <c r="N114" s="33"/>
      <c r="O114" s="33"/>
      <c r="P114" s="35"/>
      <c r="R114" s="2"/>
      <c r="S114" s="2"/>
      <c r="T114" s="2"/>
      <c r="U114" s="2"/>
      <c r="V114" s="2"/>
      <c r="W114" s="2"/>
      <c r="AA114" s="2"/>
      <c r="AB114" s="2"/>
      <c r="AC114" s="2"/>
      <c r="AD114" s="2"/>
      <c r="AE114" s="2"/>
      <c r="AF114" s="2"/>
    </row>
    <row r="115" spans="1:32" x14ac:dyDescent="0.3">
      <c r="B115" s="31" t="s">
        <v>228</v>
      </c>
      <c r="C115" s="32"/>
      <c r="D115" s="32"/>
      <c r="E115" s="32"/>
      <c r="F115" s="32"/>
      <c r="G115" s="32"/>
      <c r="H115" s="32"/>
      <c r="I115" s="33">
        <f>SUM(I104:I113)</f>
        <v>65.761461756053663</v>
      </c>
      <c r="J115" s="32"/>
      <c r="K115" s="32"/>
      <c r="L115" s="32"/>
      <c r="M115" s="32"/>
      <c r="N115" s="32"/>
      <c r="O115" s="32"/>
      <c r="P115" s="35"/>
    </row>
    <row r="116" spans="1:32" x14ac:dyDescent="0.3">
      <c r="B116" s="31"/>
      <c r="C116" s="32"/>
      <c r="D116" s="33"/>
      <c r="E116" s="33"/>
      <c r="F116" s="32"/>
      <c r="G116" s="36"/>
      <c r="H116" s="32"/>
      <c r="I116" s="32" t="s">
        <v>76</v>
      </c>
      <c r="J116" s="32"/>
      <c r="K116" s="37"/>
      <c r="L116" s="34"/>
      <c r="M116" s="32"/>
      <c r="N116" s="32" t="s">
        <v>77</v>
      </c>
      <c r="O116" s="32"/>
      <c r="P116" s="35"/>
      <c r="R116" s="2"/>
      <c r="S116" s="2"/>
      <c r="T116" s="2"/>
      <c r="U116" s="2"/>
      <c r="V116" s="2"/>
      <c r="W116" s="2"/>
      <c r="AA116" s="2"/>
      <c r="AB116" s="2"/>
      <c r="AC116" s="2"/>
      <c r="AD116" s="2"/>
      <c r="AE116" s="2"/>
      <c r="AF116" s="2"/>
    </row>
    <row r="117" spans="1:32" x14ac:dyDescent="0.3">
      <c r="B117" s="31"/>
      <c r="C117" s="32"/>
      <c r="D117" s="32"/>
      <c r="E117" s="33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5"/>
      <c r="R117" s="2"/>
      <c r="S117" s="2"/>
      <c r="T117" s="2"/>
      <c r="U117" s="2"/>
      <c r="V117" s="2"/>
      <c r="W117" s="2"/>
      <c r="AA117" s="2"/>
      <c r="AB117" s="2"/>
      <c r="AC117" s="2"/>
      <c r="AD117" s="2"/>
      <c r="AE117" s="2"/>
      <c r="AF117" s="2"/>
    </row>
    <row r="118" spans="1:32" x14ac:dyDescent="0.3">
      <c r="B118" s="31"/>
      <c r="C118" s="32"/>
      <c r="D118" s="32"/>
      <c r="E118" s="33"/>
      <c r="F118" s="32"/>
      <c r="G118" s="38" t="s">
        <v>49</v>
      </c>
      <c r="H118" s="32"/>
      <c r="I118" s="39">
        <f>SUM(I93:I108)+I110+I111</f>
        <v>116.77794964486496</v>
      </c>
      <c r="J118" s="40">
        <f>N118/I118</f>
        <v>1.3002966594157845</v>
      </c>
      <c r="K118" s="32"/>
      <c r="L118" s="41">
        <f>O118/I118</f>
        <v>7.9123269078089367</v>
      </c>
      <c r="M118" s="32"/>
      <c r="N118" s="33">
        <f>SUM(N93:N113)</f>
        <v>151.8459778166426</v>
      </c>
      <c r="O118" s="33">
        <f>SUM(O93:O113)</f>
        <v>923.98531321382211</v>
      </c>
      <c r="P118" s="35"/>
      <c r="R118" s="2"/>
      <c r="S118" s="2"/>
      <c r="T118" s="2"/>
      <c r="U118" s="2"/>
      <c r="V118" s="2"/>
      <c r="W118" s="2"/>
      <c r="AA118" s="2"/>
      <c r="AB118" s="2"/>
      <c r="AC118" s="2"/>
      <c r="AD118" s="2"/>
      <c r="AE118" s="2"/>
      <c r="AF118" s="2"/>
    </row>
    <row r="119" spans="1:32" x14ac:dyDescent="0.3">
      <c r="B119" s="31"/>
      <c r="C119" s="32"/>
      <c r="D119" s="32"/>
      <c r="E119" s="32"/>
      <c r="F119" s="32"/>
      <c r="G119" s="38" t="s">
        <v>220</v>
      </c>
      <c r="H119" s="32"/>
      <c r="I119" s="39">
        <f>D55</f>
        <v>160.68675700446386</v>
      </c>
      <c r="J119" s="32"/>
      <c r="K119" s="32"/>
      <c r="L119" s="32"/>
      <c r="M119" s="32"/>
      <c r="N119" s="32"/>
      <c r="O119" s="32"/>
      <c r="P119" s="35"/>
      <c r="R119" s="2"/>
      <c r="S119" s="2"/>
      <c r="T119" s="2"/>
      <c r="U119" s="2"/>
      <c r="V119" s="2"/>
      <c r="W119" s="2"/>
      <c r="AA119" s="2"/>
      <c r="AB119" s="2"/>
      <c r="AC119" s="2"/>
      <c r="AD119" s="2"/>
      <c r="AE119" s="2"/>
      <c r="AF119" s="2"/>
    </row>
    <row r="120" spans="1:32" x14ac:dyDescent="0.3">
      <c r="B120" s="31"/>
      <c r="C120" s="32"/>
      <c r="D120" s="32"/>
      <c r="E120" s="32"/>
      <c r="F120" s="32"/>
      <c r="G120" s="38" t="s">
        <v>74</v>
      </c>
      <c r="H120" s="32"/>
      <c r="I120" s="32"/>
      <c r="J120" s="38">
        <f>D23+D25</f>
        <v>1.7</v>
      </c>
      <c r="K120" s="32"/>
      <c r="L120" s="32"/>
      <c r="M120" s="32"/>
      <c r="N120" s="32"/>
      <c r="O120" s="32"/>
      <c r="P120" s="35"/>
    </row>
    <row r="121" spans="1:32" ht="19.5" thickBot="1" x14ac:dyDescent="0.35">
      <c r="B121" s="42"/>
      <c r="C121" s="43"/>
      <c r="D121" s="43"/>
      <c r="E121" s="43"/>
      <c r="F121" s="43"/>
      <c r="G121" s="44" t="s">
        <v>75</v>
      </c>
      <c r="H121" s="43"/>
      <c r="I121" s="43"/>
      <c r="J121" s="43"/>
      <c r="K121" s="43"/>
      <c r="L121" s="44">
        <f>D26/2</f>
        <v>9</v>
      </c>
      <c r="M121" s="43"/>
      <c r="N121" s="43"/>
      <c r="O121" s="43"/>
      <c r="P121" s="45"/>
    </row>
    <row r="122" spans="1:32" x14ac:dyDescent="0.3">
      <c r="D122" s="11"/>
    </row>
    <row r="123" spans="1:32" x14ac:dyDescent="0.3">
      <c r="H123" s="3"/>
      <c r="M123" s="1" t="s">
        <v>178</v>
      </c>
      <c r="N123" s="1" t="s">
        <v>179</v>
      </c>
    </row>
    <row r="124" spans="1:32" x14ac:dyDescent="0.3">
      <c r="E124" s="1" t="s">
        <v>78</v>
      </c>
      <c r="H124" s="46">
        <f>ATAN((D26/2-L118)/(J120-J118))*180/PI()</f>
        <v>69.82238665109756</v>
      </c>
      <c r="I124" s="47" t="s">
        <v>47</v>
      </c>
      <c r="M124" s="21">
        <f>D26/2</f>
        <v>9</v>
      </c>
      <c r="N124" s="21">
        <f>L118</f>
        <v>7.9123269078089367</v>
      </c>
    </row>
    <row r="125" spans="1:32" x14ac:dyDescent="0.3">
      <c r="L125" s="1" t="s">
        <v>180</v>
      </c>
      <c r="M125" s="21">
        <f>J120</f>
        <v>1.7</v>
      </c>
      <c r="N125" s="21">
        <f>J118</f>
        <v>1.3002966594157845</v>
      </c>
    </row>
    <row r="126" spans="1:32" x14ac:dyDescent="0.3">
      <c r="L126" s="3"/>
      <c r="M126" s="1" t="s">
        <v>181</v>
      </c>
      <c r="N126" s="3">
        <f>M125-N125</f>
        <v>0.39970334058421542</v>
      </c>
    </row>
    <row r="127" spans="1:32" x14ac:dyDescent="0.3">
      <c r="M127" s="1" t="s">
        <v>182</v>
      </c>
      <c r="N127" s="3">
        <f>N124-M124</f>
        <v>-1.0876730921910633</v>
      </c>
    </row>
    <row r="128" spans="1:32" x14ac:dyDescent="0.3">
      <c r="A128" s="48">
        <v>11</v>
      </c>
      <c r="B128" s="24" t="s">
        <v>80</v>
      </c>
    </row>
    <row r="129" spans="1:15" x14ac:dyDescent="0.3">
      <c r="L129" s="1" t="s">
        <v>194</v>
      </c>
      <c r="N129" s="2">
        <f>ATAN(N127/N126)*180/PI()</f>
        <v>-69.82238665109756</v>
      </c>
      <c r="O129" s="1" t="s">
        <v>47</v>
      </c>
    </row>
    <row r="130" spans="1:15" x14ac:dyDescent="0.3">
      <c r="B130" s="1" t="s">
        <v>34</v>
      </c>
      <c r="E130" s="1" t="s">
        <v>193</v>
      </c>
      <c r="F130" s="25">
        <v>95</v>
      </c>
      <c r="G130" s="4">
        <f>F130/100*2*D23</f>
        <v>2.8499999999999996</v>
      </c>
      <c r="H130" s="1" t="s">
        <v>0</v>
      </c>
    </row>
    <row r="132" spans="1:15" x14ac:dyDescent="0.3">
      <c r="B132" s="6" t="s">
        <v>46</v>
      </c>
      <c r="G132" s="5">
        <f>MAX(0,SIGN(2*D23-G130))*D21+2*SQRT(MAX(0, D23^2-(D23-G130)^2))</f>
        <v>16.307669683062205</v>
      </c>
      <c r="H132" s="1" t="s">
        <v>0</v>
      </c>
    </row>
    <row r="133" spans="1:15" x14ac:dyDescent="0.3">
      <c r="B133" s="1" t="s">
        <v>37</v>
      </c>
      <c r="G133" s="5">
        <f>2*SQRT(MAX(0,D23^2-(D23-G130)^2))</f>
        <v>1.3076696830622034</v>
      </c>
      <c r="H133" s="1" t="s">
        <v>0</v>
      </c>
    </row>
    <row r="134" spans="1:15" x14ac:dyDescent="0.3">
      <c r="B134" s="1" t="s">
        <v>38</v>
      </c>
      <c r="G134" s="3">
        <f>(D23^2*(PI()-ACOS(MIN(1, (G130-D23)/D23)))+(G130-D23)*G133/2)*D21</f>
        <v>104.04675270153645</v>
      </c>
      <c r="H134" s="1" t="s">
        <v>12</v>
      </c>
    </row>
    <row r="135" spans="1:15" x14ac:dyDescent="0.3">
      <c r="B135" s="1" t="s">
        <v>39</v>
      </c>
      <c r="G135" s="3">
        <f>PI()/3*(4*D23^3-MAX(0, 2*D23-G130)^2*(D23+G130))</f>
        <v>14.0346724808307</v>
      </c>
      <c r="H135" s="1" t="s">
        <v>12</v>
      </c>
    </row>
    <row r="136" spans="1:15" x14ac:dyDescent="0.3">
      <c r="B136" s="1" t="s">
        <v>50</v>
      </c>
      <c r="G136" s="3">
        <f>G134+G135</f>
        <v>118.08142518236716</v>
      </c>
      <c r="H136" s="1" t="s">
        <v>12</v>
      </c>
    </row>
    <row r="137" spans="1:15" x14ac:dyDescent="0.3">
      <c r="B137" s="1" t="s">
        <v>35</v>
      </c>
      <c r="G137" s="3">
        <f>G138+G139-J118</f>
        <v>3.1635222881296814</v>
      </c>
      <c r="H137" s="1" t="s">
        <v>0</v>
      </c>
    </row>
    <row r="138" spans="1:15" x14ac:dyDescent="0.3">
      <c r="B138" s="1" t="s">
        <v>36</v>
      </c>
      <c r="G138" s="3">
        <f>G132*G133^3/12</f>
        <v>3.0388189475454666</v>
      </c>
      <c r="H138" s="1" t="s">
        <v>0</v>
      </c>
    </row>
    <row r="139" spans="1:15" x14ac:dyDescent="0.3">
      <c r="B139" s="1" t="s">
        <v>79</v>
      </c>
      <c r="G139" s="1">
        <f>G130/2</f>
        <v>1.4249999999999998</v>
      </c>
      <c r="H139" s="1" t="s">
        <v>0</v>
      </c>
    </row>
    <row r="140" spans="1:15" x14ac:dyDescent="0.3">
      <c r="J140" s="1" t="s">
        <v>195</v>
      </c>
    </row>
    <row r="141" spans="1:15" x14ac:dyDescent="0.3">
      <c r="L141" s="22">
        <v>5</v>
      </c>
      <c r="M141" s="1">
        <v>10</v>
      </c>
      <c r="N141" s="1">
        <v>30</v>
      </c>
      <c r="O141" s="1">
        <v>50</v>
      </c>
    </row>
    <row r="142" spans="1:15" x14ac:dyDescent="0.3">
      <c r="A142" s="48">
        <v>12</v>
      </c>
      <c r="B142" s="12" t="s">
        <v>73</v>
      </c>
      <c r="I142" s="1" t="s">
        <v>160</v>
      </c>
      <c r="J142" s="14">
        <v>94.458960845197964</v>
      </c>
      <c r="K142" s="14"/>
      <c r="L142" s="14">
        <v>93.579673607296726</v>
      </c>
      <c r="M142" s="14">
        <v>85.393174062380226</v>
      </c>
      <c r="N142" s="14">
        <v>53.744405434055828</v>
      </c>
      <c r="O142" s="14">
        <v>28.682944670571846</v>
      </c>
    </row>
    <row r="143" spans="1:15" x14ac:dyDescent="0.3">
      <c r="I143" s="1" t="s">
        <v>159</v>
      </c>
      <c r="J143" s="14">
        <v>79.619001484299844</v>
      </c>
      <c r="K143" s="14"/>
      <c r="L143" s="14">
        <v>79.264684166386289</v>
      </c>
      <c r="M143" s="14">
        <v>81.223778330445938</v>
      </c>
      <c r="N143" s="14">
        <v>88.797265123358287</v>
      </c>
      <c r="O143" s="14">
        <v>94.794422369265192</v>
      </c>
    </row>
    <row r="144" spans="1:15" x14ac:dyDescent="0.3">
      <c r="B144" s="12" t="s">
        <v>45</v>
      </c>
      <c r="G144" s="1" t="s">
        <v>92</v>
      </c>
      <c r="I144" s="1" t="s">
        <v>158</v>
      </c>
      <c r="J144" s="14">
        <v>100</v>
      </c>
      <c r="K144" s="14"/>
      <c r="L144" s="14">
        <v>100</v>
      </c>
      <c r="M144" s="14">
        <v>100</v>
      </c>
      <c r="N144" s="14">
        <v>100</v>
      </c>
      <c r="O144" s="14">
        <v>100</v>
      </c>
    </row>
    <row r="145" spans="1:15" x14ac:dyDescent="0.3">
      <c r="B145" s="1" t="s">
        <v>147</v>
      </c>
      <c r="C145" s="1" t="s">
        <v>43</v>
      </c>
      <c r="D145" s="2">
        <v>0.41170000000000001</v>
      </c>
      <c r="E145" s="50">
        <f>2.5+D9*0.8</f>
        <v>4.0999999999999996</v>
      </c>
      <c r="F145" s="1" t="s">
        <v>0</v>
      </c>
      <c r="G145" s="1">
        <v>4.0999999999999996</v>
      </c>
      <c r="H145" s="1" t="s">
        <v>0</v>
      </c>
      <c r="I145" s="1" t="s">
        <v>42</v>
      </c>
      <c r="J145" s="14">
        <v>100</v>
      </c>
      <c r="K145" s="14"/>
      <c r="L145" s="14">
        <v>100</v>
      </c>
      <c r="M145" s="14">
        <v>100</v>
      </c>
      <c r="N145" s="14">
        <v>100</v>
      </c>
      <c r="O145" s="14">
        <v>100</v>
      </c>
    </row>
    <row r="146" spans="1:15" x14ac:dyDescent="0.3">
      <c r="B146" s="1" t="s">
        <v>148</v>
      </c>
      <c r="C146" s="1" t="s">
        <v>43</v>
      </c>
      <c r="D146" s="2">
        <v>0.22</v>
      </c>
      <c r="E146" s="2">
        <v>1.5</v>
      </c>
      <c r="F146" s="1" t="s">
        <v>0</v>
      </c>
      <c r="I146" s="1" t="s">
        <v>41</v>
      </c>
      <c r="J146" s="14">
        <v>99.309918018647707</v>
      </c>
      <c r="K146" s="14"/>
      <c r="L146" s="14">
        <v>100.00009930991801</v>
      </c>
      <c r="M146" s="14">
        <v>100</v>
      </c>
      <c r="N146" s="14">
        <v>100</v>
      </c>
      <c r="O146" s="14">
        <v>100</v>
      </c>
    </row>
    <row r="147" spans="1:15" x14ac:dyDescent="0.3">
      <c r="B147" s="1" t="s">
        <v>149</v>
      </c>
      <c r="C147" s="1" t="s">
        <v>43</v>
      </c>
      <c r="D147" s="2">
        <v>0.22</v>
      </c>
      <c r="E147" s="18">
        <f>D169</f>
        <v>0.29010829737877475</v>
      </c>
      <c r="F147" s="1" t="s">
        <v>0</v>
      </c>
    </row>
    <row r="148" spans="1:15" x14ac:dyDescent="0.3">
      <c r="B148" s="1" t="s">
        <v>139</v>
      </c>
      <c r="C148" s="1" t="s">
        <v>43</v>
      </c>
      <c r="D148" s="2">
        <v>0.22</v>
      </c>
      <c r="E148" s="18">
        <f>(15.385*E82+3692.3)/1000</f>
        <v>4.2173108376578066</v>
      </c>
      <c r="F148" s="1" t="s">
        <v>0</v>
      </c>
      <c r="J148" s="1">
        <v>-1</v>
      </c>
      <c r="L148" s="22">
        <v>-5</v>
      </c>
      <c r="M148" s="1">
        <v>-10</v>
      </c>
      <c r="N148" s="1">
        <v>-30</v>
      </c>
      <c r="O148" s="1">
        <v>-50</v>
      </c>
    </row>
    <row r="149" spans="1:15" x14ac:dyDescent="0.3">
      <c r="B149" s="1" t="s">
        <v>150</v>
      </c>
      <c r="C149" s="1" t="s">
        <v>43</v>
      </c>
      <c r="D149" s="2">
        <v>0.22</v>
      </c>
      <c r="E149" s="2">
        <v>1</v>
      </c>
      <c r="F149" s="1" t="s">
        <v>0</v>
      </c>
      <c r="I149" s="1" t="s">
        <v>160</v>
      </c>
      <c r="J149" s="14">
        <v>36.085473002271172</v>
      </c>
      <c r="K149" s="14"/>
      <c r="L149" s="14">
        <v>37.581753485663079</v>
      </c>
      <c r="M149" s="14">
        <v>39.56494460269468</v>
      </c>
      <c r="N149" s="14">
        <v>49.642594105236398</v>
      </c>
      <c r="O149" s="14">
        <v>67.34340040956603</v>
      </c>
    </row>
    <row r="150" spans="1:15" x14ac:dyDescent="0.3">
      <c r="B150" s="1" t="s">
        <v>233</v>
      </c>
      <c r="D150" s="2"/>
      <c r="E150" s="19">
        <v>0</v>
      </c>
      <c r="F150" s="1" t="s">
        <v>0</v>
      </c>
      <c r="I150" s="1" t="s">
        <v>159</v>
      </c>
      <c r="J150" s="14">
        <v>100</v>
      </c>
      <c r="K150" s="14"/>
      <c r="L150" s="14">
        <v>100</v>
      </c>
      <c r="M150" s="14">
        <v>100</v>
      </c>
      <c r="N150" s="14">
        <v>100</v>
      </c>
      <c r="O150" s="14">
        <v>100</v>
      </c>
    </row>
    <row r="151" spans="1:15" x14ac:dyDescent="0.3">
      <c r="B151" s="1" t="s">
        <v>234</v>
      </c>
      <c r="D151" s="2"/>
      <c r="E151" s="19">
        <v>0</v>
      </c>
      <c r="F151" s="1" t="s">
        <v>0</v>
      </c>
      <c r="I151" s="1" t="s">
        <v>158</v>
      </c>
      <c r="J151" s="14">
        <v>100</v>
      </c>
      <c r="K151" s="14"/>
      <c r="L151" s="14">
        <v>100</v>
      </c>
      <c r="M151" s="14">
        <v>100</v>
      </c>
      <c r="N151" s="14">
        <v>100</v>
      </c>
      <c r="O151" s="14">
        <v>100</v>
      </c>
    </row>
    <row r="152" spans="1:15" x14ac:dyDescent="0.3">
      <c r="D152" s="2"/>
      <c r="E152" s="2">
        <f>SUM(E145:E151)</f>
        <v>11.107419135036581</v>
      </c>
      <c r="F152" s="1" t="s">
        <v>0</v>
      </c>
      <c r="I152" s="1" t="s">
        <v>42</v>
      </c>
      <c r="J152" s="14">
        <v>100</v>
      </c>
      <c r="K152" s="14"/>
      <c r="L152" s="14">
        <v>100</v>
      </c>
      <c r="M152" s="14">
        <v>100</v>
      </c>
      <c r="N152" s="14">
        <v>100</v>
      </c>
      <c r="O152" s="14">
        <v>100</v>
      </c>
    </row>
    <row r="153" spans="1:15" x14ac:dyDescent="0.3">
      <c r="E153" s="2"/>
      <c r="I153" s="1" t="s">
        <v>41</v>
      </c>
      <c r="J153" s="14">
        <v>91.473102063060566</v>
      </c>
      <c r="K153" s="14"/>
      <c r="L153" s="14">
        <v>91.035504225212136</v>
      </c>
      <c r="M153" s="14">
        <v>90.455505919756675</v>
      </c>
      <c r="N153" s="14">
        <v>87.508225859731681</v>
      </c>
      <c r="O153" s="14">
        <v>82.331499535408255</v>
      </c>
    </row>
    <row r="155" spans="1:15" x14ac:dyDescent="0.3">
      <c r="A155" s="48">
        <v>13</v>
      </c>
      <c r="B155" s="24" t="s">
        <v>99</v>
      </c>
      <c r="E155" s="2"/>
    </row>
    <row r="156" spans="1:15" x14ac:dyDescent="0.3">
      <c r="B156" s="1" t="s">
        <v>100</v>
      </c>
      <c r="E156" s="2"/>
      <c r="H156" s="1" t="s">
        <v>144</v>
      </c>
      <c r="I156" s="1" t="s">
        <v>145</v>
      </c>
    </row>
    <row r="157" spans="1:15" x14ac:dyDescent="0.3">
      <c r="E157" s="2"/>
      <c r="H157" s="1">
        <v>20</v>
      </c>
      <c r="I157" s="1">
        <v>150</v>
      </c>
    </row>
    <row r="158" spans="1:15" x14ac:dyDescent="0.3">
      <c r="B158" s="1" t="s">
        <v>107</v>
      </c>
      <c r="E158" s="2"/>
      <c r="F158" s="1" t="s">
        <v>140</v>
      </c>
      <c r="G158" s="1">
        <v>1950</v>
      </c>
      <c r="H158" s="1">
        <v>4000</v>
      </c>
      <c r="I158" s="1">
        <v>6000</v>
      </c>
    </row>
    <row r="159" spans="1:15" x14ac:dyDescent="0.3">
      <c r="B159" s="1" t="s">
        <v>109</v>
      </c>
      <c r="C159" s="16">
        <f>D10</f>
        <v>24</v>
      </c>
      <c r="D159" s="1" t="s">
        <v>108</v>
      </c>
      <c r="E159" s="2"/>
      <c r="F159" s="1" t="s">
        <v>141</v>
      </c>
      <c r="G159" s="1">
        <v>1435</v>
      </c>
      <c r="H159" s="1">
        <f>G159</f>
        <v>1435</v>
      </c>
      <c r="I159" s="1">
        <f>H159</f>
        <v>1435</v>
      </c>
    </row>
    <row r="160" spans="1:15" x14ac:dyDescent="0.3">
      <c r="B160" s="1" t="s">
        <v>110</v>
      </c>
      <c r="C160" s="16">
        <f t="shared" ref="C160:C161" si="3">D11</f>
        <v>500</v>
      </c>
      <c r="D160" s="1" t="s">
        <v>111</v>
      </c>
      <c r="E160" s="2"/>
      <c r="F160" s="1" t="s">
        <v>142</v>
      </c>
      <c r="G160" s="1">
        <v>2340</v>
      </c>
      <c r="H160" s="1">
        <f>G160</f>
        <v>2340</v>
      </c>
      <c r="I160" s="1">
        <f>H160</f>
        <v>2340</v>
      </c>
    </row>
    <row r="161" spans="1:9" x14ac:dyDescent="0.3">
      <c r="B161" s="1" t="s">
        <v>172</v>
      </c>
      <c r="C161" s="16">
        <f t="shared" si="3"/>
        <v>12</v>
      </c>
      <c r="D161" s="1" t="s">
        <v>108</v>
      </c>
      <c r="E161" s="2"/>
      <c r="F161" s="1" t="s">
        <v>143</v>
      </c>
      <c r="G161" s="2">
        <f>G158*G159*G160/1000000000</f>
        <v>6.5479050000000001</v>
      </c>
      <c r="H161" s="2">
        <f>H158*H159*H160/1000000000</f>
        <v>13.4316</v>
      </c>
      <c r="I161" s="2">
        <f>I158*I159*I160/1000000000</f>
        <v>20.147400000000001</v>
      </c>
    </row>
    <row r="162" spans="1:9" x14ac:dyDescent="0.3">
      <c r="E162" s="2"/>
      <c r="F162" s="1" t="s">
        <v>146</v>
      </c>
      <c r="G162" s="2"/>
    </row>
    <row r="163" spans="1:9" x14ac:dyDescent="0.3">
      <c r="E163" s="2"/>
      <c r="G163" s="2"/>
    </row>
    <row r="164" spans="1:9" x14ac:dyDescent="0.3">
      <c r="E164" s="2"/>
    </row>
    <row r="165" spans="1:9" x14ac:dyDescent="0.3">
      <c r="A165" s="48">
        <v>14</v>
      </c>
      <c r="B165" s="24" t="s">
        <v>101</v>
      </c>
      <c r="E165" s="1" t="s">
        <v>106</v>
      </c>
      <c r="F165" s="2" t="s">
        <v>112</v>
      </c>
      <c r="G165" s="1" t="s">
        <v>136</v>
      </c>
      <c r="H165" s="2">
        <f>E82</f>
        <v>34.124851326474271</v>
      </c>
    </row>
    <row r="166" spans="1:9" x14ac:dyDescent="0.3">
      <c r="B166" s="1" t="s">
        <v>102</v>
      </c>
      <c r="C166" s="1">
        <v>0.8</v>
      </c>
      <c r="D166" s="1" t="s">
        <v>103</v>
      </c>
      <c r="E166" s="2">
        <v>789</v>
      </c>
      <c r="F166" s="3">
        <f>C166*C159*$H$165/1000</f>
        <v>0.6551971454683061</v>
      </c>
      <c r="G166" s="3">
        <f>F166/(E166/1000)</f>
        <v>0.83041463303967811</v>
      </c>
    </row>
    <row r="167" spans="1:9" x14ac:dyDescent="0.3">
      <c r="B167" s="1" t="s">
        <v>104</v>
      </c>
      <c r="C167" s="1">
        <v>1.7</v>
      </c>
      <c r="D167" s="1" t="s">
        <v>103</v>
      </c>
      <c r="E167" s="2">
        <v>1141</v>
      </c>
      <c r="F167" s="3">
        <f>C167*C159*$H$165/1000</f>
        <v>1.3922939341201501</v>
      </c>
      <c r="G167" s="3">
        <f>F167/(E167/1000)</f>
        <v>1.2202400824891761</v>
      </c>
    </row>
    <row r="168" spans="1:9" x14ac:dyDescent="0.3">
      <c r="E168" s="2" t="s">
        <v>137</v>
      </c>
      <c r="F168" s="3">
        <f>F166+F167</f>
        <v>2.0474910795884562</v>
      </c>
      <c r="G168" s="3">
        <f>G166+G167</f>
        <v>2.0506547155288541</v>
      </c>
    </row>
    <row r="169" spans="1:9" x14ac:dyDescent="0.3">
      <c r="B169" s="1" t="s">
        <v>138</v>
      </c>
      <c r="D169" s="3">
        <f>G168/(D23^2*PI())</f>
        <v>0.29010829737877475</v>
      </c>
      <c r="E169" s="2"/>
    </row>
    <row r="170" spans="1:9" x14ac:dyDescent="0.3">
      <c r="E170" s="2"/>
    </row>
    <row r="171" spans="1:9" x14ac:dyDescent="0.3">
      <c r="E171" s="2"/>
    </row>
    <row r="172" spans="1:9" x14ac:dyDescent="0.3">
      <c r="A172" s="48">
        <v>15</v>
      </c>
      <c r="B172" s="24" t="s">
        <v>86</v>
      </c>
    </row>
    <row r="173" spans="1:9" x14ac:dyDescent="0.3">
      <c r="B173" s="1" t="s">
        <v>89</v>
      </c>
    </row>
    <row r="174" spans="1:9" x14ac:dyDescent="0.3">
      <c r="B174" s="1" t="s">
        <v>105</v>
      </c>
      <c r="E174" s="1">
        <f>15/150</f>
        <v>0.1</v>
      </c>
      <c r="F174" s="1" t="s">
        <v>87</v>
      </c>
    </row>
    <row r="177" spans="1:7" s="23" customFormat="1" x14ac:dyDescent="0.3">
      <c r="A177" s="49"/>
      <c r="B177" s="23" t="s">
        <v>183</v>
      </c>
      <c r="E177" s="23">
        <v>0.4</v>
      </c>
      <c r="F177" s="23" t="s">
        <v>88</v>
      </c>
    </row>
    <row r="181" spans="1:7" x14ac:dyDescent="0.3">
      <c r="A181" s="48">
        <v>16</v>
      </c>
      <c r="B181" s="12" t="s">
        <v>157</v>
      </c>
    </row>
    <row r="182" spans="1:7" x14ac:dyDescent="0.3">
      <c r="B182" s="1" t="s">
        <v>81</v>
      </c>
      <c r="E182" s="1">
        <v>0</v>
      </c>
      <c r="F182" s="1" t="s">
        <v>47</v>
      </c>
    </row>
    <row r="183" spans="1:7" x14ac:dyDescent="0.3">
      <c r="B183" s="1" t="s">
        <v>82</v>
      </c>
      <c r="E183" s="1">
        <v>0</v>
      </c>
      <c r="F183" s="1" t="s">
        <v>47</v>
      </c>
    </row>
    <row r="184" spans="1:7" x14ac:dyDescent="0.3">
      <c r="B184" s="1" t="s">
        <v>230</v>
      </c>
      <c r="E184" s="47">
        <f>D24</f>
        <v>1.7</v>
      </c>
      <c r="F184" s="1" t="s">
        <v>0</v>
      </c>
    </row>
    <row r="185" spans="1:7" x14ac:dyDescent="0.3">
      <c r="B185" s="1" t="s">
        <v>84</v>
      </c>
      <c r="C185" s="1" t="s">
        <v>55</v>
      </c>
      <c r="E185" s="3">
        <f>D24+E145/2</f>
        <v>3.75</v>
      </c>
      <c r="F185" s="1" t="s">
        <v>0</v>
      </c>
    </row>
    <row r="186" spans="1:7" x14ac:dyDescent="0.3">
      <c r="B186" s="17" t="s">
        <v>134</v>
      </c>
      <c r="C186" s="1" t="s">
        <v>54</v>
      </c>
      <c r="E186" s="2">
        <f>D23^2*PI()*E145</f>
        <v>28.981192229365838</v>
      </c>
      <c r="F186" s="1" t="s">
        <v>12</v>
      </c>
    </row>
    <row r="187" spans="1:7" x14ac:dyDescent="0.3">
      <c r="B187" s="17" t="s">
        <v>135</v>
      </c>
      <c r="C187" s="8" t="s">
        <v>53</v>
      </c>
      <c r="E187" s="2">
        <f>PI()*(360-E182-E183)/360*-(D23^2-E184^2)*E145</f>
        <v>8.2435391230196124</v>
      </c>
      <c r="F187" s="1" t="s">
        <v>12</v>
      </c>
      <c r="G187" s="1">
        <f>(D24^2-D23^2)*PI()*E145</f>
        <v>8.2435391230196124</v>
      </c>
    </row>
    <row r="188" spans="1:7" x14ac:dyDescent="0.3">
      <c r="B188" s="17"/>
      <c r="C188" s="7"/>
      <c r="E188" s="2"/>
    </row>
    <row r="190" spans="1:7" x14ac:dyDescent="0.3">
      <c r="B190" s="12" t="s">
        <v>156</v>
      </c>
    </row>
    <row r="191" spans="1:7" x14ac:dyDescent="0.3">
      <c r="B191" s="1" t="s">
        <v>40</v>
      </c>
      <c r="E191" s="1">
        <v>30</v>
      </c>
      <c r="F191" s="1" t="s">
        <v>47</v>
      </c>
    </row>
    <row r="192" spans="1:7" x14ac:dyDescent="0.3">
      <c r="B192" s="1" t="s">
        <v>44</v>
      </c>
      <c r="E192" s="1">
        <v>30</v>
      </c>
      <c r="F192" s="1" t="s">
        <v>47</v>
      </c>
    </row>
    <row r="193" spans="2:6" x14ac:dyDescent="0.3">
      <c r="B193" s="1" t="s">
        <v>83</v>
      </c>
      <c r="E193" s="1">
        <v>1.4</v>
      </c>
    </row>
    <row r="194" spans="2:6" x14ac:dyDescent="0.3">
      <c r="B194" s="1" t="s">
        <v>223</v>
      </c>
      <c r="E194" s="47">
        <f>D24</f>
        <v>1.7</v>
      </c>
      <c r="F194" s="1" t="s">
        <v>0</v>
      </c>
    </row>
    <row r="195" spans="2:6" x14ac:dyDescent="0.3">
      <c r="B195" s="1" t="s">
        <v>56</v>
      </c>
      <c r="C195" s="1" t="s">
        <v>57</v>
      </c>
      <c r="E195" s="3">
        <f>D24+E145+E146/2</f>
        <v>6.55</v>
      </c>
      <c r="F195" s="1" t="s">
        <v>0</v>
      </c>
    </row>
    <row r="196" spans="2:6" x14ac:dyDescent="0.3">
      <c r="B196" s="17" t="s">
        <v>93</v>
      </c>
      <c r="C196" s="1" t="s">
        <v>58</v>
      </c>
      <c r="E196" s="2">
        <f>D23^2*PI()*E146</f>
        <v>10.602875205865551</v>
      </c>
      <c r="F196" s="1" t="s">
        <v>12</v>
      </c>
    </row>
    <row r="197" spans="2:6" x14ac:dyDescent="0.3">
      <c r="B197" s="17" t="s">
        <v>94</v>
      </c>
      <c r="C197" s="8" t="s">
        <v>59</v>
      </c>
      <c r="E197" s="2">
        <f>PI()*(360-E191-E192)/360*-(D23^2-E194^2)*E146</f>
        <v>2.5132741228718336</v>
      </c>
      <c r="F197" s="1" t="s">
        <v>12</v>
      </c>
    </row>
    <row r="198" spans="2:6" x14ac:dyDescent="0.3">
      <c r="B198" s="17"/>
      <c r="C198" s="7"/>
      <c r="E198" s="2"/>
    </row>
    <row r="200" spans="2:6" x14ac:dyDescent="0.3">
      <c r="B200" s="12" t="s">
        <v>113</v>
      </c>
    </row>
    <row r="201" spans="2:6" x14ac:dyDescent="0.3">
      <c r="B201" s="1" t="s">
        <v>114</v>
      </c>
      <c r="E201" s="1">
        <v>0</v>
      </c>
      <c r="F201" s="1" t="s">
        <v>47</v>
      </c>
    </row>
    <row r="202" spans="2:6" x14ac:dyDescent="0.3">
      <c r="B202" s="1" t="s">
        <v>115</v>
      </c>
      <c r="E202" s="1">
        <v>0</v>
      </c>
      <c r="F202" s="1" t="s">
        <v>47</v>
      </c>
    </row>
    <row r="203" spans="2:6" x14ac:dyDescent="0.3">
      <c r="B203" s="1" t="s">
        <v>224</v>
      </c>
      <c r="E203" s="47">
        <f>D24</f>
        <v>1.7</v>
      </c>
      <c r="F203" s="1" t="s">
        <v>0</v>
      </c>
    </row>
    <row r="204" spans="2:6" x14ac:dyDescent="0.3">
      <c r="B204" s="1" t="s">
        <v>116</v>
      </c>
      <c r="C204" s="1" t="s">
        <v>95</v>
      </c>
      <c r="E204" s="3">
        <f>D24+E145+E146+E147/2</f>
        <v>7.4450541486893869</v>
      </c>
      <c r="F204" s="1" t="s">
        <v>0</v>
      </c>
    </row>
    <row r="205" spans="2:6" x14ac:dyDescent="0.3">
      <c r="B205" s="17" t="s">
        <v>124</v>
      </c>
      <c r="C205" s="1" t="s">
        <v>97</v>
      </c>
      <c r="E205" s="2">
        <f>D23^2*PI()*E147</f>
        <v>2.0506547155288541</v>
      </c>
      <c r="F205" s="1" t="s">
        <v>12</v>
      </c>
    </row>
    <row r="206" spans="2:6" x14ac:dyDescent="0.3">
      <c r="B206" s="17" t="s">
        <v>125</v>
      </c>
      <c r="C206" s="8" t="s">
        <v>131</v>
      </c>
      <c r="E206" s="2">
        <f>PI()*(360-E201-E202)/360*-(D23^2-E203^2)*E147</f>
        <v>0.58329734130598476</v>
      </c>
      <c r="F206" s="1" t="s">
        <v>12</v>
      </c>
    </row>
    <row r="207" spans="2:6" x14ac:dyDescent="0.3">
      <c r="B207" s="17"/>
      <c r="C207" s="7"/>
      <c r="E207" s="2"/>
    </row>
    <row r="209" spans="2:6" x14ac:dyDescent="0.3">
      <c r="B209" s="12" t="s">
        <v>117</v>
      </c>
    </row>
    <row r="210" spans="2:6" x14ac:dyDescent="0.3">
      <c r="B210" s="1" t="s">
        <v>118</v>
      </c>
      <c r="E210" s="1">
        <v>0</v>
      </c>
      <c r="F210" s="1" t="s">
        <v>47</v>
      </c>
    </row>
    <row r="211" spans="2:6" x14ac:dyDescent="0.3">
      <c r="B211" s="1" t="s">
        <v>119</v>
      </c>
      <c r="E211" s="1">
        <v>0</v>
      </c>
      <c r="F211" s="1" t="s">
        <v>47</v>
      </c>
    </row>
    <row r="212" spans="2:6" x14ac:dyDescent="0.3">
      <c r="B212" s="1" t="s">
        <v>225</v>
      </c>
      <c r="E212" s="47">
        <f>D24</f>
        <v>1.7</v>
      </c>
      <c r="F212" s="1" t="s">
        <v>0</v>
      </c>
    </row>
    <row r="213" spans="2:6" x14ac:dyDescent="0.3">
      <c r="B213" s="1" t="s">
        <v>120</v>
      </c>
      <c r="C213" s="1" t="s">
        <v>121</v>
      </c>
      <c r="E213" s="3">
        <f>D24+E145+E146+E147+E148/2</f>
        <v>9.6987637162076776</v>
      </c>
      <c r="F213" s="1" t="s">
        <v>0</v>
      </c>
    </row>
    <row r="214" spans="2:6" x14ac:dyDescent="0.3">
      <c r="B214" s="17" t="s">
        <v>122</v>
      </c>
      <c r="C214" s="1" t="s">
        <v>227</v>
      </c>
      <c r="E214" s="2">
        <f>D23^2*PI()*E148</f>
        <v>29.81041367735336</v>
      </c>
      <c r="F214" s="1" t="s">
        <v>12</v>
      </c>
    </row>
    <row r="215" spans="2:6" x14ac:dyDescent="0.3">
      <c r="B215" s="17" t="s">
        <v>123</v>
      </c>
      <c r="C215" s="8" t="s">
        <v>132</v>
      </c>
      <c r="E215" s="2">
        <f>PI()*(360-E210-E211)/360*-(D23^2-E212^2)*E148</f>
        <v>8.4794065571138386</v>
      </c>
      <c r="F215" s="1" t="s">
        <v>12</v>
      </c>
    </row>
    <row r="216" spans="2:6" x14ac:dyDescent="0.3">
      <c r="B216" s="17"/>
      <c r="C216" s="7"/>
      <c r="E216" s="2"/>
    </row>
    <row r="218" spans="2:6" x14ac:dyDescent="0.3">
      <c r="B218" s="12" t="s">
        <v>126</v>
      </c>
    </row>
    <row r="219" spans="2:6" x14ac:dyDescent="0.3">
      <c r="B219" s="1" t="s">
        <v>154</v>
      </c>
      <c r="E219" s="1">
        <v>0</v>
      </c>
      <c r="F219" s="1" t="s">
        <v>47</v>
      </c>
    </row>
    <row r="220" spans="2:6" x14ac:dyDescent="0.3">
      <c r="B220" s="1" t="s">
        <v>127</v>
      </c>
      <c r="E220" s="1">
        <v>0</v>
      </c>
      <c r="F220" s="1" t="s">
        <v>47</v>
      </c>
    </row>
    <row r="221" spans="2:6" x14ac:dyDescent="0.3">
      <c r="B221" s="1" t="s">
        <v>226</v>
      </c>
      <c r="E221" s="47">
        <f>D24</f>
        <v>1.7</v>
      </c>
      <c r="F221" s="1" t="s">
        <v>0</v>
      </c>
    </row>
    <row r="222" spans="2:6" x14ac:dyDescent="0.3">
      <c r="B222" s="1" t="s">
        <v>128</v>
      </c>
      <c r="C222" s="1" t="s">
        <v>96</v>
      </c>
      <c r="E222" s="3">
        <f>D24+E145+E146+E147+E148+E149/2</f>
        <v>12.307419135036582</v>
      </c>
      <c r="F222" s="1" t="s">
        <v>0</v>
      </c>
    </row>
    <row r="223" spans="2:6" x14ac:dyDescent="0.3">
      <c r="B223" s="17" t="s">
        <v>129</v>
      </c>
      <c r="C223" s="1" t="s">
        <v>98</v>
      </c>
      <c r="E223" s="2">
        <f>D23^2*PI()*E149</f>
        <v>7.0685834705770345</v>
      </c>
      <c r="F223" s="1" t="s">
        <v>12</v>
      </c>
    </row>
    <row r="224" spans="2:6" x14ac:dyDescent="0.3">
      <c r="B224" s="17" t="s">
        <v>130</v>
      </c>
      <c r="C224" s="8" t="s">
        <v>133</v>
      </c>
      <c r="E224" s="2">
        <f>PI()*(360-E219-E220)/360*-(D23^2-E221^2)*E149</f>
        <v>2.0106192982974664</v>
      </c>
      <c r="F224" s="1" t="s">
        <v>12</v>
      </c>
    </row>
    <row r="225" spans="2:5" x14ac:dyDescent="0.3">
      <c r="B225" s="17"/>
      <c r="C225" s="7"/>
      <c r="E225" s="2"/>
    </row>
    <row r="231" spans="2:5" x14ac:dyDescent="0.3">
      <c r="B231" s="12"/>
    </row>
    <row r="232" spans="2:5" x14ac:dyDescent="0.3">
      <c r="E232" s="2"/>
    </row>
    <row r="233" spans="2:5" x14ac:dyDescent="0.3">
      <c r="E233" s="3"/>
    </row>
  </sheetData>
  <scenarios current="0">
    <scenario name="stem1" count="2" user="Windows korisnik" comment="Created by Windows korisnik on 4/4/2019">
      <inputCells r="D107" val="50.0766968954303"/>
      <inputCells r="C70" undone="1" val="60.0823042674936"/>
    </scenario>
  </scenarios>
  <pageMargins left="0.7" right="0.7" top="0.75" bottom="0.75" header="0.3" footer="0.3"/>
  <pageSetup paperSize="9" scale="31" fitToHeight="0" orientation="portrait" r:id="rId1"/>
  <rowBreaks count="1" manualBreakCount="1">
    <brk id="122" min="1" max="15" man="1"/>
  </rowBreaks>
  <colBreaks count="1" manualBreakCount="1">
    <brk id="26" min="2" max="12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Podmornica</vt:lpstr>
      <vt:lpstr>Podmornica!Print_Area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Bruno Maric</cp:lastModifiedBy>
  <cp:lastPrinted>2019-05-02T22:51:43Z</cp:lastPrinted>
  <dcterms:created xsi:type="dcterms:W3CDTF">2019-03-16T23:26:43Z</dcterms:created>
  <dcterms:modified xsi:type="dcterms:W3CDTF">2019-05-08T13:14:11Z</dcterms:modified>
</cp:coreProperties>
</file>