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minimized="1" xWindow="0" yWindow="0" windowWidth="19200" windowHeight="7610"/>
  </bookViews>
  <sheets>
    <sheet name="Podmornica" sheetId="1" r:id="rId1"/>
  </sheets>
  <definedNames>
    <definedName name="_xlnm.Print_Area" localSheetId="0">Podmornica!$B$3:$P$221</definedName>
    <definedName name="solver_adj" localSheetId="0" hidden="1">Podmornica!$D$104:$D$108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Podmornica!$I$115</definedName>
    <definedName name="solver_lhs2" localSheetId="0" hidden="1">Podmornica!$D$104</definedName>
    <definedName name="solver_lhs3" localSheetId="0" hidden="1">Podmornica!$D$108</definedName>
    <definedName name="solver_lhs4" localSheetId="0" hidden="1">Podmornica!$J$115</definedName>
    <definedName name="solver_lhs5" localSheetId="0" hidden="1">Podmornica!$D$106</definedName>
    <definedName name="solver_lhs6" localSheetId="0" hidden="1">Podmornica!$D$105</definedName>
    <definedName name="solver_lhs7" localSheetId="0" hidden="1">Podmornica!$D$107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Podmornica!$H$121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Podmornica!$I$116</definedName>
    <definedName name="solver_rhs2" localSheetId="0" hidden="1">100</definedName>
    <definedName name="solver_rhs3" localSheetId="0" hidden="1">100</definedName>
    <definedName name="solver_rhs4" localSheetId="0" hidden="1">Podmornica!$J$117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1" i="1" l="1"/>
  <c r="I110" i="1"/>
  <c r="D22" i="1"/>
  <c r="D27" i="1" s="1"/>
  <c r="G184" i="1"/>
  <c r="I23" i="1"/>
  <c r="H23" i="1"/>
  <c r="D53" i="1"/>
  <c r="D41" i="1"/>
  <c r="D61" i="1"/>
  <c r="E27" i="1" l="1"/>
  <c r="G127" i="1"/>
  <c r="E142" i="1" l="1"/>
  <c r="E70" i="1"/>
  <c r="E181" i="1"/>
  <c r="C157" i="1"/>
  <c r="C158" i="1"/>
  <c r="C156" i="1"/>
  <c r="D25" i="1" l="1"/>
  <c r="J105" i="1"/>
  <c r="J106" i="1"/>
  <c r="J107" i="1"/>
  <c r="J108" i="1"/>
  <c r="J104" i="1"/>
  <c r="I100" i="1"/>
  <c r="I101" i="1"/>
  <c r="E182" i="1"/>
  <c r="L101" i="1" s="1"/>
  <c r="E184" i="1"/>
  <c r="I108" i="1" s="1"/>
  <c r="E218" i="1"/>
  <c r="E221" i="1" s="1"/>
  <c r="I104" i="1" s="1"/>
  <c r="E209" i="1"/>
  <c r="E200" i="1"/>
  <c r="E191" i="1"/>
  <c r="D46" i="1"/>
  <c r="D45" i="1"/>
  <c r="D36" i="1"/>
  <c r="D35" i="1"/>
  <c r="D26" i="1"/>
  <c r="I95" i="1"/>
  <c r="E194" i="1" l="1"/>
  <c r="I107" i="1" s="1"/>
  <c r="J99" i="1"/>
  <c r="N99" i="1" s="1"/>
  <c r="O101" i="1"/>
  <c r="L108" i="1"/>
  <c r="O108" i="1" s="1"/>
  <c r="L100" i="1"/>
  <c r="O100" i="1" s="1"/>
  <c r="L102" i="1"/>
  <c r="M121" i="1"/>
  <c r="J94" i="1"/>
  <c r="J96" i="1"/>
  <c r="N96" i="1" s="1"/>
  <c r="J95" i="1"/>
  <c r="N95" i="1" s="1"/>
  <c r="J98" i="1"/>
  <c r="J97" i="1"/>
  <c r="J102" i="1"/>
  <c r="J100" i="1"/>
  <c r="N100" i="1" s="1"/>
  <c r="J101" i="1"/>
  <c r="N101" i="1" s="1"/>
  <c r="J117" i="1"/>
  <c r="M122" i="1" s="1"/>
  <c r="N104" i="1"/>
  <c r="N108" i="1"/>
  <c r="E220" i="1"/>
  <c r="H157" i="1"/>
  <c r="I157" i="1" s="1"/>
  <c r="H156" i="1"/>
  <c r="G158" i="1"/>
  <c r="E171" i="1"/>
  <c r="D40" i="1" l="1"/>
  <c r="D42" i="1" s="1"/>
  <c r="H66" i="1" s="1"/>
  <c r="D52" i="1"/>
  <c r="D54" i="1" s="1"/>
  <c r="D55" i="1" s="1"/>
  <c r="H158" i="1"/>
  <c r="I156" i="1"/>
  <c r="I158" i="1" s="1"/>
  <c r="D30" i="1" l="1"/>
  <c r="E78" i="1" s="1"/>
  <c r="I116" i="1"/>
  <c r="F24" i="1" s="1"/>
  <c r="H24" i="1" s="1"/>
  <c r="H70" i="1"/>
  <c r="E71" i="1" s="1"/>
  <c r="E74" i="1" l="1"/>
  <c r="E72" i="1"/>
  <c r="G132" i="1"/>
  <c r="G130" i="1" l="1"/>
  <c r="G136" i="1" l="1"/>
  <c r="D16" i="1" l="1"/>
  <c r="D17" i="1" s="1"/>
  <c r="D60" i="1" s="1"/>
  <c r="D59" i="1" s="1"/>
  <c r="F59" i="1" l="1"/>
  <c r="E183" i="1" l="1"/>
  <c r="E192" i="1"/>
  <c r="E193" i="1"/>
  <c r="L99" i="1" l="1"/>
  <c r="O99" i="1" s="1"/>
  <c r="L107" i="1"/>
  <c r="G131" i="1"/>
  <c r="G133" i="1" s="1"/>
  <c r="D47" i="1"/>
  <c r="D37" i="1"/>
  <c r="G129" i="1"/>
  <c r="G135" i="1" s="1"/>
  <c r="L118" i="1"/>
  <c r="D29" i="1" l="1"/>
  <c r="D48" i="1"/>
  <c r="F66" i="1"/>
  <c r="I94" i="1" s="1"/>
  <c r="L94" i="1"/>
  <c r="E73" i="1"/>
  <c r="N94" i="1" l="1"/>
  <c r="O94" i="1"/>
  <c r="E76" i="1"/>
  <c r="E79" i="1" s="1"/>
  <c r="E80" i="1" s="1"/>
  <c r="E81" i="1" s="1"/>
  <c r="E82" i="1" s="1"/>
  <c r="F88" i="1" l="1"/>
  <c r="E89" i="1"/>
  <c r="I102" i="1" s="1"/>
  <c r="N107" i="1"/>
  <c r="O107" i="1"/>
  <c r="H162" i="1"/>
  <c r="E145" i="1"/>
  <c r="E212" i="1" s="1"/>
  <c r="I105" i="1" s="1"/>
  <c r="E84" i="1"/>
  <c r="N105" i="1" l="1"/>
  <c r="I97" i="1"/>
  <c r="E211" i="1"/>
  <c r="F163" i="1"/>
  <c r="F164" i="1"/>
  <c r="G164" i="1" s="1"/>
  <c r="N97" i="1" l="1"/>
  <c r="G163" i="1"/>
  <c r="G165" i="1" s="1"/>
  <c r="F165" i="1"/>
  <c r="I98" i="1" s="1"/>
  <c r="N98" i="1" l="1"/>
  <c r="D166" i="1"/>
  <c r="E144" i="1" s="1"/>
  <c r="E149" i="1" s="1"/>
  <c r="E203" i="1" l="1"/>
  <c r="I106" i="1" s="1"/>
  <c r="E201" i="1"/>
  <c r="E202" i="1"/>
  <c r="E219" i="1"/>
  <c r="F21" i="1"/>
  <c r="E210" i="1"/>
  <c r="I112" i="1" l="1"/>
  <c r="F25" i="1" s="1"/>
  <c r="I115" i="1"/>
  <c r="F23" i="1" s="1"/>
  <c r="L96" i="1"/>
  <c r="O96" i="1" s="1"/>
  <c r="L105" i="1"/>
  <c r="O105" i="1" s="1"/>
  <c r="L95" i="1"/>
  <c r="O95" i="1" s="1"/>
  <c r="L104" i="1"/>
  <c r="O104" i="1" s="1"/>
  <c r="L98" i="1"/>
  <c r="O98" i="1" s="1"/>
  <c r="L97" i="1"/>
  <c r="O97" i="1" s="1"/>
  <c r="L106" i="1"/>
  <c r="O106" i="1" s="1"/>
  <c r="N106" i="1"/>
  <c r="N115" i="1" s="1"/>
  <c r="F28" i="1" l="1"/>
  <c r="H17" i="1"/>
  <c r="O115" i="1"/>
  <c r="L115" i="1" s="1"/>
  <c r="N121" i="1" s="1"/>
  <c r="N124" i="1" s="1"/>
  <c r="J115" i="1"/>
  <c r="G134" i="1" s="1"/>
  <c r="N122" i="1" l="1"/>
  <c r="N123" i="1" s="1"/>
  <c r="N126" i="1" s="1"/>
  <c r="H121" i="1"/>
</calcChain>
</file>

<file path=xl/sharedStrings.xml><?xml version="1.0" encoding="utf-8"?>
<sst xmlns="http://schemas.openxmlformats.org/spreadsheetml/2006/main" count="331" uniqueCount="234">
  <si>
    <t>m</t>
  </si>
  <si>
    <t>Hidrostatski tlak =ro*g*h</t>
  </si>
  <si>
    <t>kg/m3</t>
  </si>
  <si>
    <t>g</t>
  </si>
  <si>
    <t>m/s2</t>
  </si>
  <si>
    <t>Dubina mora, h</t>
  </si>
  <si>
    <t>1 bar</t>
  </si>
  <si>
    <t>Pa</t>
  </si>
  <si>
    <t>bar</t>
  </si>
  <si>
    <t>Dimenzije podmorice:</t>
  </si>
  <si>
    <t>Radijus, R</t>
  </si>
  <si>
    <t>m2</t>
  </si>
  <si>
    <t>m3</t>
  </si>
  <si>
    <t>Kugle, 4*R^2*pi()</t>
  </si>
  <si>
    <t>Debljina stijenke podmornice, t:</t>
  </si>
  <si>
    <t>Peq, tlak</t>
  </si>
  <si>
    <t>sigma=</t>
  </si>
  <si>
    <t>N/mm2</t>
  </si>
  <si>
    <t>J, faktor zavarivanja</t>
  </si>
  <si>
    <t>mm</t>
  </si>
  <si>
    <t>Potrebna snaga:</t>
  </si>
  <si>
    <t>CF= 0,075/(log10*Rn-2)^2, , koef. Trenja,</t>
  </si>
  <si>
    <t>S, Ukupno</t>
  </si>
  <si>
    <t>Pe=Re*V</t>
  </si>
  <si>
    <t>V, brzina broda</t>
  </si>
  <si>
    <t>čv</t>
  </si>
  <si>
    <t>m/2</t>
  </si>
  <si>
    <t>m2/s</t>
  </si>
  <si>
    <t>kW</t>
  </si>
  <si>
    <t>kN</t>
  </si>
  <si>
    <t>t</t>
  </si>
  <si>
    <t>t=Peq*Di/(20*sigma*J+Peq)</t>
  </si>
  <si>
    <t>težište, zg</t>
  </si>
  <si>
    <t>xg</t>
  </si>
  <si>
    <t>Gaz, T</t>
  </si>
  <si>
    <t>MG=BM+KB-KG</t>
  </si>
  <si>
    <t>BM, L*B^3/12</t>
  </si>
  <si>
    <t>B, Širinu, 2*sqrt(max(0, R^2-(T-R)^2))</t>
  </si>
  <si>
    <t>Volumen, Cil, (R^2*(PI()-ACOS(MIN(0, ((T-R)/R)))+(T-R)*B/2)*LC</t>
  </si>
  <si>
    <t>Volumen, Kugle, pi()/3*(4*R^3-MAX(0, 2*R-T)^2*(R+T))</t>
  </si>
  <si>
    <t>alfa2</t>
  </si>
  <si>
    <t>balast 1</t>
  </si>
  <si>
    <t>balast 2</t>
  </si>
  <si>
    <t>%LC</t>
  </si>
  <si>
    <t>beta2</t>
  </si>
  <si>
    <t>Duljine tankova</t>
  </si>
  <si>
    <t>LWL, Duljina WL, MAX(0;SIGN(2*R-T))*LC+2*SQRT(MAX(0,R^2-(T-R)^2))</t>
  </si>
  <si>
    <t>st</t>
  </si>
  <si>
    <t>-</t>
  </si>
  <si>
    <t>Ukupna masa</t>
  </si>
  <si>
    <t>Volumen, podmornice u plovidbi</t>
  </si>
  <si>
    <t>Di=R*2*1000</t>
  </si>
  <si>
    <t>(Peq*Di/(20*sigma+Peq))</t>
  </si>
  <si>
    <t>pi()*(360-alfa1-beta1)/360*(R^2-R1^2)*l1</t>
  </si>
  <si>
    <t>R^2*pi()*l1</t>
  </si>
  <si>
    <t>R+l1/2</t>
  </si>
  <si>
    <t>XG2,</t>
  </si>
  <si>
    <t>R+l1+l2/2</t>
  </si>
  <si>
    <t>R^2*pi()*l2</t>
  </si>
  <si>
    <t>pi()*(360-alfa2-beta2)/360*(R^2-R2^2)*l2</t>
  </si>
  <si>
    <t>Masa čelika (trupa):</t>
  </si>
  <si>
    <t>R/2</t>
  </si>
  <si>
    <t>R1*PB1/100+(R-R1)</t>
  </si>
  <si>
    <t>R2*PB2/100+(R-R2)</t>
  </si>
  <si>
    <t>ukupno, MU</t>
  </si>
  <si>
    <t>MOM, mx</t>
  </si>
  <si>
    <t>MOM, mz</t>
  </si>
  <si>
    <t>CT=CF*(1+k), koef. ukupnog otpora</t>
  </si>
  <si>
    <t>Re=CT*0,5*ro*v^2*S/1000</t>
  </si>
  <si>
    <t>Kinematički viskozitet vode, ni=</t>
  </si>
  <si>
    <t>Pb1=Pe/(0,5*0,98)</t>
  </si>
  <si>
    <t>k=-0.095+25.6 *CB/((L/2R)^2*(2R/2R)^0.5), koef. Utjecaja trupa</t>
  </si>
  <si>
    <t>Koef, čv. u m/s</t>
  </si>
  <si>
    <t>Definicije tankova</t>
  </si>
  <si>
    <t>VCB, Težište istisnine po visini</t>
  </si>
  <si>
    <t>LCB, Težište istisnine po duljini, L/2=</t>
  </si>
  <si>
    <t>Težište masa po visini, VCG</t>
  </si>
  <si>
    <t>Težište masa po duljini, LCG</t>
  </si>
  <si>
    <t>alfa_t, Kut trim ( mora biti blizu 0) = atan((L/2-LCG)/(VCB-VCG))</t>
  </si>
  <si>
    <t>KB= T/2</t>
  </si>
  <si>
    <t>Stabilitet podmornice u plovidbi</t>
  </si>
  <si>
    <t>alfa1, kut gornjeg otvora</t>
  </si>
  <si>
    <t>beta1, donji kut</t>
  </si>
  <si>
    <t>R1, unutrašnji radijus balastnih tankova</t>
  </si>
  <si>
    <t>XG1, težište tanka po duljini</t>
  </si>
  <si>
    <t>Pb= Pb1/0.85, ukupna potrebna snaga na vijku</t>
  </si>
  <si>
    <t>Ulazni parametri za pogon</t>
  </si>
  <si>
    <t>t/kW</t>
  </si>
  <si>
    <t>m3/kW</t>
  </si>
  <si>
    <t>SM, Specifična masa po kW pogona</t>
  </si>
  <si>
    <t>MM=Pb*SM, masa pogona</t>
  </si>
  <si>
    <t>Kugla, 4/3*R^3*pi()</t>
  </si>
  <si>
    <t>MIN</t>
  </si>
  <si>
    <t>VT2, Volumen tanka,</t>
  </si>
  <si>
    <t>VB2, Volumen balasta,</t>
  </si>
  <si>
    <t>R+l1+l2+l3/2</t>
  </si>
  <si>
    <t>R+l1+l2+l3+l4+l5/2</t>
  </si>
  <si>
    <t>R^2*pi()*l3</t>
  </si>
  <si>
    <t>R^2*pi()*l5</t>
  </si>
  <si>
    <t>Pogonsko postrojenje</t>
  </si>
  <si>
    <t>Izmjenjivači, turbina, ložište, kondenzator, generator + elektromotor</t>
  </si>
  <si>
    <t>POTROŠNJA GORIVA</t>
  </si>
  <si>
    <t>Etanola</t>
  </si>
  <si>
    <t>kg/h/kW</t>
  </si>
  <si>
    <t>Kisika</t>
  </si>
  <si>
    <t>Postrojenje snage 150 kW ima masu 15 t</t>
  </si>
  <si>
    <t>gustoća, kg/m3</t>
  </si>
  <si>
    <t>Projektni parametri</t>
  </si>
  <si>
    <t>sata</t>
  </si>
  <si>
    <t>Vrijeme plovidbe</t>
  </si>
  <si>
    <t>Radijus plovidbe</t>
  </si>
  <si>
    <t>nm</t>
  </si>
  <si>
    <t>Masa goriva za snagu, t</t>
  </si>
  <si>
    <t>TANK3 - GORIVO</t>
  </si>
  <si>
    <t>alfa3</t>
  </si>
  <si>
    <t>beta3</t>
  </si>
  <si>
    <t>XG3,</t>
  </si>
  <si>
    <t>TANK4 - POGONSKO POSTROJENJE</t>
  </si>
  <si>
    <t>alfa4</t>
  </si>
  <si>
    <t>beta4</t>
  </si>
  <si>
    <t>XG4,</t>
  </si>
  <si>
    <t>R+l1+l4+l3+l4/4</t>
  </si>
  <si>
    <t>VT4, Volumen tanka,</t>
  </si>
  <si>
    <t>VB4, Volumen balasta,</t>
  </si>
  <si>
    <t>VT3, Volumen tanka,</t>
  </si>
  <si>
    <t>VB3, Volumen balasta,</t>
  </si>
  <si>
    <t>TANK5 - PROSTOR ELEKTROMOTORA</t>
  </si>
  <si>
    <t>beta5</t>
  </si>
  <si>
    <t>XG5,</t>
  </si>
  <si>
    <t>VT5, Volumen tanka,</t>
  </si>
  <si>
    <t>VB5, Volumen balasta,</t>
  </si>
  <si>
    <t>pi()*(360-alfa3-beta3)/360*(R^2-R3^2)*l2</t>
  </si>
  <si>
    <t>pi()*(360-alfa4-beta4)/360*(R^2-R4^2)*l2</t>
  </si>
  <si>
    <t>pi()*(360-alfa5-beta5)/360*(R^2-R5^2)*l2</t>
  </si>
  <si>
    <t>VT1, Volumen tanka,</t>
  </si>
  <si>
    <t>VB1, Volumen balasta,</t>
  </si>
  <si>
    <t>Volumen, V3,  m3</t>
  </si>
  <si>
    <t>Ukupno:</t>
  </si>
  <si>
    <t>Minimalna duljina tanka za gorivo, l3=V3/(R^2*pi()), m</t>
  </si>
  <si>
    <t>l4 - POGONSKO POSTROJENJE</t>
  </si>
  <si>
    <t>Duljina, D, mm</t>
  </si>
  <si>
    <t>Širina, A, mm</t>
  </si>
  <si>
    <t>Visina, B, mm</t>
  </si>
  <si>
    <t>Volumen, m^3</t>
  </si>
  <si>
    <t>Min (za 20 kW)</t>
  </si>
  <si>
    <t>Max (za 150 kW)</t>
  </si>
  <si>
    <t>Projvera za R4</t>
  </si>
  <si>
    <t>l1 - POSADA I PUTNICI</t>
  </si>
  <si>
    <t>l2 - KOMORA</t>
  </si>
  <si>
    <t>l3 - GORIVO</t>
  </si>
  <si>
    <t>l5 - ELKTROMOTOR</t>
  </si>
  <si>
    <t>Cilindar, R^2*pi()*LC</t>
  </si>
  <si>
    <t>TERET</t>
  </si>
  <si>
    <t>TRUP</t>
  </si>
  <si>
    <t>alfa5</t>
  </si>
  <si>
    <t>Radijus balast, RB</t>
  </si>
  <si>
    <t>TANK2 - KOMORA</t>
  </si>
  <si>
    <t>TANK1 - POSADA I PUTNICI</t>
  </si>
  <si>
    <t>balast 3</t>
  </si>
  <si>
    <t>balast 4</t>
  </si>
  <si>
    <t>balast 5</t>
  </si>
  <si>
    <t>ELEKTROMOTOR (5)</t>
  </si>
  <si>
    <t>POGONSKO POSTROJENJE (4)</t>
  </si>
  <si>
    <t>GORIVO (3)</t>
  </si>
  <si>
    <t>PUTNICI (1)</t>
  </si>
  <si>
    <t>POSADA (1)</t>
  </si>
  <si>
    <t>Razlika radijusa</t>
  </si>
  <si>
    <t>koef. Volumena</t>
  </si>
  <si>
    <t>m^3/kWh</t>
  </si>
  <si>
    <t>koef. Mase</t>
  </si>
  <si>
    <t>kg/kWh</t>
  </si>
  <si>
    <t>Podaci za baterije</t>
  </si>
  <si>
    <t>Potreban kapacitet baterija</t>
  </si>
  <si>
    <t>Masa baterija, t</t>
  </si>
  <si>
    <t>Volumen baterija, m^3</t>
  </si>
  <si>
    <t>AKU BATERIJE</t>
  </si>
  <si>
    <t>%, popunjenost</t>
  </si>
  <si>
    <t>KOMORA (2)</t>
  </si>
  <si>
    <t>L1</t>
  </si>
  <si>
    <t>L2</t>
  </si>
  <si>
    <t>V1, V2</t>
  </si>
  <si>
    <t>dV</t>
  </si>
  <si>
    <t>dL</t>
  </si>
  <si>
    <t>SV, Specifični volumen po kW pogona - ne koristi se trenutno</t>
  </si>
  <si>
    <t>Gustoća mora, ro</t>
  </si>
  <si>
    <t>Gustoća čelika, roc</t>
  </si>
  <si>
    <t>Konstante</t>
  </si>
  <si>
    <t>Duljina cilindra iz proračuna - prepisuje se lijevo do se ne izjednjači</t>
  </si>
  <si>
    <t>CENTRACIJA</t>
  </si>
  <si>
    <t>ULAZNI PARAMETRI</t>
  </si>
  <si>
    <t>Brzina</t>
  </si>
  <si>
    <t>Broj putnika, 1=2P; 2=4P, 3=6P</t>
  </si>
  <si>
    <t>Radni tlak</t>
  </si>
  <si>
    <t>%(2*R)</t>
  </si>
  <si>
    <t>Provjera kuta</t>
  </si>
  <si>
    <t>kut trima</t>
  </si>
  <si>
    <t>Oplakana poršina (S)*debljina (t) *roc*1,5 (mokrog plašta)*1,5(masa strukture)</t>
  </si>
  <si>
    <t>Volumen podmornice, čvrsti trup:</t>
  </si>
  <si>
    <t>Volumen podmornice, mokri trup:</t>
  </si>
  <si>
    <t>Cilindar, RB^2*pi()*LC</t>
  </si>
  <si>
    <t>Kugla, 4/3*RB^3*pi()</t>
  </si>
  <si>
    <t>Duljina čvrsti, LC1</t>
  </si>
  <si>
    <t>Duljina mokri, LC2</t>
  </si>
  <si>
    <t>Oplošje podmornice, mokri trup:</t>
  </si>
  <si>
    <t>Oplošje podmornice, čvrsti trup:</t>
  </si>
  <si>
    <t>Cilindar, 2*R*pi()*LC1</t>
  </si>
  <si>
    <t>Cilindar, 2*RB*pi()*LC2</t>
  </si>
  <si>
    <t>Kugle, 4*RB^2*pi()</t>
  </si>
  <si>
    <t>Ukupno, VOL1</t>
  </si>
  <si>
    <t>Istisnina, VOL1*ro</t>
  </si>
  <si>
    <t>Ukupno, VOL2</t>
  </si>
  <si>
    <t>Istisnina, VOL2*ro</t>
  </si>
  <si>
    <t>L1, duljina, LC1+2*R, čvrsti trup</t>
  </si>
  <si>
    <t>L2, duljina, LC2+2*RB, čvrsti trup</t>
  </si>
  <si>
    <t>CB1=VOL1/(L1*2R*2R), blok koef. čvrsti trup</t>
  </si>
  <si>
    <t>CB2=VOL2/(L2*2RB*2RB), blok koef. mokri trup</t>
  </si>
  <si>
    <t>k=-0.095+25.6 *CB2/((L2/2RB)^2</t>
  </si>
  <si>
    <t>Fn=V/(g*L2)^0.5</t>
  </si>
  <si>
    <t>Rn=V*L2/ni, Reynoldsov broj</t>
  </si>
  <si>
    <t>Service continues rating, 100% MCR</t>
  </si>
  <si>
    <t>Istisnina/Uzgon</t>
  </si>
  <si>
    <t>Masa</t>
  </si>
  <si>
    <t>Uzgon</t>
  </si>
  <si>
    <t>R2, vanjski radijus balastnih tankova</t>
  </si>
  <si>
    <t>R3, vanjski radijus balastnih tankova</t>
  </si>
  <si>
    <t>R4. vanjski radijus balastnih tankova</t>
  </si>
  <si>
    <t>R5, vanjski radijus balastnih tankova</t>
  </si>
  <si>
    <t>R^2*pi()*l4</t>
  </si>
  <si>
    <t>Ukupno balast</t>
  </si>
  <si>
    <t>Balast</t>
  </si>
  <si>
    <t>R1, vanjski radijus balastnih tankova</t>
  </si>
  <si>
    <t>balast 6</t>
  </si>
  <si>
    <t>balast 7</t>
  </si>
  <si>
    <t>balast7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</si>
</sst>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00000"/>
    <numFmt numFmtId="167" formatCode="0.0"/>
    <numFmt numFmtId="168" formatCode="0.0000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quotePrefix="1" applyFont="1"/>
    <xf numFmtId="166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167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0" fontId="1" fillId="0" borderId="5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2" fontId="4" fillId="0" borderId="0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167" fontId="12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10564304461942"/>
                  <c:y val="0.27847404491105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Podmornica!$H$154:$I$154</c:f>
              <c:numCache>
                <c:formatCode>General</c:formatCode>
                <c:ptCount val="2"/>
                <c:pt idx="0">
                  <c:v>20</c:v>
                </c:pt>
                <c:pt idx="1">
                  <c:v>150</c:v>
                </c:pt>
              </c:numCache>
            </c:numRef>
          </c:xVal>
          <c:yVal>
            <c:numRef>
              <c:f>Podmornica!$H$155:$I$155</c:f>
              <c:numCache>
                <c:formatCode>General</c:formatCode>
                <c:ptCount val="2"/>
                <c:pt idx="0">
                  <c:v>4000</c:v>
                </c:pt>
                <c:pt idx="1">
                  <c:v>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27920"/>
        <c:axId val="268840976"/>
      </c:scatterChart>
      <c:valAx>
        <c:axId val="26882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40976"/>
        <c:crosses val="autoZero"/>
        <c:crossBetween val="midCat"/>
      </c:valAx>
      <c:valAx>
        <c:axId val="26884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2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Podmornica!$I$139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Podmornica!$J$138:$O$138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Podmornica!$J$139:$O$139</c:f>
              <c:numCache>
                <c:formatCode>0.0</c:formatCode>
                <c:ptCount val="5"/>
                <c:pt idx="0">
                  <c:v>94.458960845197964</c:v>
                </c:pt>
                <c:pt idx="1">
                  <c:v>93.579673607296726</c:v>
                </c:pt>
                <c:pt idx="2">
                  <c:v>85.393174062380226</c:v>
                </c:pt>
                <c:pt idx="3">
                  <c:v>53.744405434055828</c:v>
                </c:pt>
                <c:pt idx="4">
                  <c:v>28.682944670571846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Podmornica!$I$140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Podmornica!$J$138:$O$138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Podmornica!$J$140:$O$140</c:f>
              <c:numCache>
                <c:formatCode>0.0</c:formatCode>
                <c:ptCount val="5"/>
                <c:pt idx="0">
                  <c:v>79.619001484299844</c:v>
                </c:pt>
                <c:pt idx="1">
                  <c:v>79.264684166386289</c:v>
                </c:pt>
                <c:pt idx="2">
                  <c:v>81.223778330445938</c:v>
                </c:pt>
                <c:pt idx="3">
                  <c:v>88.797265123358287</c:v>
                </c:pt>
                <c:pt idx="4">
                  <c:v>94.794422369265192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Podmornica!$I$141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Podmornica!$J$138:$O$138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Podmornica!$J$141:$O$141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Podmornica!$I$142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Podmornica!$J$138:$O$138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Podmornica!$J$142:$O$142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Podmornica!$I$143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Podmornica!$J$138:$O$138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Podmornica!$J$143:$O$143</c:f>
              <c:numCache>
                <c:formatCode>0.0</c:formatCode>
                <c:ptCount val="5"/>
                <c:pt idx="0">
                  <c:v>99.309918018647707</c:v>
                </c:pt>
                <c:pt idx="1">
                  <c:v>100.00009930991801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32272"/>
        <c:axId val="268833360"/>
      </c:scatterChart>
      <c:valAx>
        <c:axId val="26883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33360"/>
        <c:crosses val="autoZero"/>
        <c:crossBetween val="midCat"/>
      </c:valAx>
      <c:valAx>
        <c:axId val="2688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3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Podmornica!$I$146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Podmornica!$J$145:$O$145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Podmornica!$J$146:$O$146</c:f>
              <c:numCache>
                <c:formatCode>0.0</c:formatCode>
                <c:ptCount val="5"/>
                <c:pt idx="0">
                  <c:v>36.085473002271172</c:v>
                </c:pt>
                <c:pt idx="1">
                  <c:v>37.581753485663079</c:v>
                </c:pt>
                <c:pt idx="2">
                  <c:v>39.56494460269468</c:v>
                </c:pt>
                <c:pt idx="3">
                  <c:v>49.642594105236398</c:v>
                </c:pt>
                <c:pt idx="4">
                  <c:v>67.34340040956603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Podmornica!$I$147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Podmornica!$J$145:$O$145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Podmornica!$J$147:$O$147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Podmornica!$I$148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Podmornica!$J$145:$O$145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Podmornica!$J$148:$O$148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Podmornica!$I$149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Podmornica!$J$145:$O$145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Podmornica!$J$149:$O$149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Podmornica!$I$150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Podmornica!$J$145:$O$145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Podmornica!$J$150:$O$150</c:f>
              <c:numCache>
                <c:formatCode>0.0</c:formatCode>
                <c:ptCount val="5"/>
                <c:pt idx="0">
                  <c:v>91.473102063060566</c:v>
                </c:pt>
                <c:pt idx="1">
                  <c:v>91.035504225212136</c:v>
                </c:pt>
                <c:pt idx="2">
                  <c:v>90.455505919756675</c:v>
                </c:pt>
                <c:pt idx="3">
                  <c:v>87.508225859731681</c:v>
                </c:pt>
                <c:pt idx="4">
                  <c:v>82.331499535408255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30640"/>
        <c:axId val="268834448"/>
      </c:scatterChart>
      <c:valAx>
        <c:axId val="2688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34448"/>
        <c:crosses val="autoZero"/>
        <c:crossBetween val="midCat"/>
      </c:valAx>
      <c:valAx>
        <c:axId val="2688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3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Podmornica!$M$121:$N$121</c:f>
              <c:numCache>
                <c:formatCode>0.00000</c:formatCode>
                <c:ptCount val="2"/>
                <c:pt idx="0">
                  <c:v>7.6950000000000003</c:v>
                </c:pt>
                <c:pt idx="1">
                  <c:v>7.5236036568064959</c:v>
                </c:pt>
              </c:numCache>
            </c:numRef>
          </c:xVal>
          <c:yVal>
            <c:numRef>
              <c:f>Podmornica!$M$122:$N$122</c:f>
              <c:numCache>
                <c:formatCode>0.00000</c:formatCode>
                <c:ptCount val="2"/>
                <c:pt idx="0">
                  <c:v>1.9</c:v>
                </c:pt>
                <c:pt idx="1">
                  <c:v>1.8020806517058274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26832"/>
        <c:axId val="268834992"/>
      </c:scatterChart>
      <c:valAx>
        <c:axId val="26882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34992"/>
        <c:crosses val="autoZero"/>
        <c:crossBetween val="midCat"/>
      </c:valAx>
      <c:valAx>
        <c:axId val="26883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2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827315</xdr:colOff>
      <xdr:row>112</xdr:row>
      <xdr:rowOff>119743</xdr:rowOff>
    </xdr:from>
    <xdr:to>
      <xdr:col>9</xdr:col>
      <xdr:colOff>1371600</xdr:colOff>
      <xdr:row>114</xdr:row>
      <xdr:rowOff>10886</xdr:rowOff>
    </xdr:to>
    <xdr:cxnSp macro="">
      <xdr:nvCxnSpPr>
        <xdr:cNvPr id="3" name="Straight Arrow Connector 2"/>
        <xdr:cNvCxnSpPr/>
      </xdr:nvCxnSpPr>
      <xdr:spPr>
        <a:xfrm>
          <a:off x="14554201" y="18864943"/>
          <a:ext cx="544285" cy="348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914400</xdr:colOff>
      <xdr:row>112</xdr:row>
      <xdr:rowOff>195943</xdr:rowOff>
    </xdr:from>
    <xdr:to>
      <xdr:col>13</xdr:col>
      <xdr:colOff>32657</xdr:colOff>
      <xdr:row>114</xdr:row>
      <xdr:rowOff>10886</xdr:rowOff>
    </xdr:to>
    <xdr:cxnSp macro="">
      <xdr:nvCxnSpPr>
        <xdr:cNvPr id="6" name="Straight Arrow Connector 5"/>
        <xdr:cNvCxnSpPr/>
      </xdr:nvCxnSpPr>
      <xdr:spPr>
        <a:xfrm flipH="1">
          <a:off x="16241486" y="18941143"/>
          <a:ext cx="794657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157401</xdr:colOff>
      <xdr:row>152</xdr:row>
      <xdr:rowOff>15504</xdr:rowOff>
    </xdr:from>
    <xdr:to>
      <xdr:col>15</xdr:col>
      <xdr:colOff>500728</xdr:colOff>
      <xdr:row>163</xdr:row>
      <xdr:rowOff>161966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32657</xdr:colOff>
      <xdr:row>132</xdr:row>
      <xdr:rowOff>83126</xdr:rowOff>
    </xdr:from>
    <xdr:to>
      <xdr:col>21</xdr:col>
      <xdr:colOff>484909</xdr:colOff>
      <xdr:row>142</xdr:row>
      <xdr:rowOff>45718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43543</xdr:colOff>
      <xdr:row>142</xdr:row>
      <xdr:rowOff>76200</xdr:rowOff>
    </xdr:from>
    <xdr:to>
      <xdr:col>21</xdr:col>
      <xdr:colOff>526472</xdr:colOff>
      <xdr:row>152</xdr:row>
      <xdr:rowOff>55420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316112</xdr:colOff>
      <xdr:row>119</xdr:row>
      <xdr:rowOff>16009</xdr:rowOff>
    </xdr:from>
    <xdr:to>
      <xdr:col>19</xdr:col>
      <xdr:colOff>697074</xdr:colOff>
      <xdr:row>128</xdr:row>
      <xdr:rowOff>156747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Q230"/>
  <sheetViews>
    <sheetView tabSelected="1" defaultGridColor="0" topLeftCell="A16" colorId="8" zoomScale="70" zoomScaleNormal="70" zoomScaleSheetLayoutView="55" workbookViewId="0">
      <selection activeCell="I97" sqref="I97"/>
    </sheetView>
  </sheetViews>
  <sheetFormatPr defaultColWidth="8.90625" defaultRowHeight="18.5" x14ac:dyDescent="0.45"/>
  <cols>
    <col min="1" max="1" width="8.90625" style="48"/>
    <col min="2" max="2" width="35.90625" style="1" customWidth="1"/>
    <col min="3" max="4" width="22.81640625" style="1" customWidth="1"/>
    <col min="5" max="5" width="21.90625" style="1" customWidth="1"/>
    <col min="6" max="6" width="30.54296875" style="1" customWidth="1"/>
    <col min="7" max="7" width="27.1796875" style="1" customWidth="1"/>
    <col min="8" max="8" width="21.54296875" style="1" customWidth="1"/>
    <col min="9" max="9" width="17.08984375" style="1" customWidth="1"/>
    <col min="10" max="10" width="23.36328125" style="1" bestFit="1" customWidth="1"/>
    <col min="11" max="11" width="43.54296875" style="1" hidden="1" customWidth="1"/>
    <col min="12" max="12" width="13.90625" style="1" customWidth="1"/>
    <col min="13" max="13" width="10.453125" style="1" customWidth="1"/>
    <col min="14" max="14" width="12.90625" style="1" customWidth="1"/>
    <col min="15" max="15" width="13" style="1" customWidth="1"/>
    <col min="16" max="17" width="8.90625" style="1"/>
    <col min="18" max="23" width="10.54296875" style="1" bestFit="1" customWidth="1"/>
    <col min="24" max="16384" width="8.90625" style="1"/>
  </cols>
  <sheetData>
    <row r="2" spans="1:5" x14ac:dyDescent="0.45">
      <c r="A2" s="48">
        <v>1</v>
      </c>
      <c r="B2" s="24" t="s">
        <v>186</v>
      </c>
    </row>
    <row r="3" spans="1:5" x14ac:dyDescent="0.45">
      <c r="B3" s="1" t="s">
        <v>184</v>
      </c>
      <c r="D3" s="1">
        <v>1025</v>
      </c>
      <c r="E3" s="1" t="s">
        <v>2</v>
      </c>
    </row>
    <row r="4" spans="1:5" x14ac:dyDescent="0.45">
      <c r="B4" s="1" t="s">
        <v>185</v>
      </c>
      <c r="D4" s="1">
        <v>7850</v>
      </c>
      <c r="E4" s="1" t="s">
        <v>2</v>
      </c>
    </row>
    <row r="5" spans="1:5" x14ac:dyDescent="0.45">
      <c r="B5" s="1" t="s">
        <v>3</v>
      </c>
      <c r="D5" s="1">
        <v>9.81</v>
      </c>
      <c r="E5" s="1" t="s">
        <v>4</v>
      </c>
    </row>
    <row r="7" spans="1:5" x14ac:dyDescent="0.45">
      <c r="A7" s="48">
        <v>2</v>
      </c>
      <c r="B7" s="25" t="s">
        <v>189</v>
      </c>
    </row>
    <row r="8" spans="1:5" x14ac:dyDescent="0.45">
      <c r="B8" s="1" t="s">
        <v>5</v>
      </c>
      <c r="D8" s="15">
        <v>150</v>
      </c>
      <c r="E8" s="1" t="s">
        <v>0</v>
      </c>
    </row>
    <row r="9" spans="1:5" x14ac:dyDescent="0.45">
      <c r="B9" s="1" t="s">
        <v>191</v>
      </c>
      <c r="D9" s="25">
        <v>2</v>
      </c>
    </row>
    <row r="10" spans="1:5" x14ac:dyDescent="0.45">
      <c r="B10" s="1" t="s">
        <v>109</v>
      </c>
      <c r="D10" s="15">
        <v>24</v>
      </c>
      <c r="E10" s="1" t="s">
        <v>108</v>
      </c>
    </row>
    <row r="11" spans="1:5" x14ac:dyDescent="0.45">
      <c r="B11" s="1" t="s">
        <v>110</v>
      </c>
      <c r="D11" s="15">
        <v>500</v>
      </c>
      <c r="E11" s="1" t="s">
        <v>111</v>
      </c>
    </row>
    <row r="12" spans="1:5" x14ac:dyDescent="0.45">
      <c r="B12" s="1" t="s">
        <v>172</v>
      </c>
      <c r="D12" s="15">
        <v>2</v>
      </c>
      <c r="E12" s="1" t="s">
        <v>108</v>
      </c>
    </row>
    <row r="13" spans="1:5" x14ac:dyDescent="0.45">
      <c r="B13" s="1" t="s">
        <v>190</v>
      </c>
      <c r="D13" s="25">
        <v>10</v>
      </c>
      <c r="E13" s="1" t="s">
        <v>25</v>
      </c>
    </row>
    <row r="15" spans="1:5" x14ac:dyDescent="0.45">
      <c r="A15" s="48">
        <v>3</v>
      </c>
      <c r="B15" s="24" t="s">
        <v>192</v>
      </c>
    </row>
    <row r="16" spans="1:5" x14ac:dyDescent="0.45">
      <c r="B16" s="1" t="s">
        <v>1</v>
      </c>
      <c r="D16" s="1">
        <f>D3*D5*D8</f>
        <v>1508287.5</v>
      </c>
      <c r="E16" s="1" t="s">
        <v>7</v>
      </c>
    </row>
    <row r="17" spans="1:9" x14ac:dyDescent="0.45">
      <c r="B17" s="1" t="s">
        <v>15</v>
      </c>
      <c r="D17" s="2">
        <f>D16/D18</f>
        <v>15.082875</v>
      </c>
      <c r="E17" s="1" t="s">
        <v>8</v>
      </c>
      <c r="H17" s="2">
        <f>F23+H66</f>
        <v>141.70987702606578</v>
      </c>
    </row>
    <row r="18" spans="1:9" x14ac:dyDescent="0.45">
      <c r="B18" s="1" t="s">
        <v>6</v>
      </c>
      <c r="D18" s="1">
        <v>100000</v>
      </c>
      <c r="E18" s="1" t="s">
        <v>7</v>
      </c>
    </row>
    <row r="20" spans="1:9" x14ac:dyDescent="0.45">
      <c r="A20" s="48">
        <v>4</v>
      </c>
      <c r="B20" s="24" t="s">
        <v>9</v>
      </c>
      <c r="F20" s="1" t="s">
        <v>187</v>
      </c>
    </row>
    <row r="21" spans="1:9" x14ac:dyDescent="0.45">
      <c r="B21" s="1" t="s">
        <v>201</v>
      </c>
      <c r="D21" s="19">
        <v>12.39</v>
      </c>
      <c r="F21" s="20">
        <f>E149</f>
        <v>12.405152767149396</v>
      </c>
    </row>
    <row r="22" spans="1:9" x14ac:dyDescent="0.45">
      <c r="B22" s="1" t="s">
        <v>202</v>
      </c>
      <c r="D22" s="19">
        <f>D21</f>
        <v>12.39</v>
      </c>
      <c r="F22" s="20"/>
    </row>
    <row r="23" spans="1:9" x14ac:dyDescent="0.45">
      <c r="B23" s="1" t="s">
        <v>10</v>
      </c>
      <c r="D23" s="15">
        <v>1.5</v>
      </c>
      <c r="E23" s="1" t="s">
        <v>0</v>
      </c>
      <c r="F23" s="2">
        <f>I115</f>
        <v>118.95150283024446</v>
      </c>
      <c r="G23" s="1" t="s">
        <v>221</v>
      </c>
      <c r="H23" s="1">
        <f>4/3*D24^3*PI()*D3/1000</f>
        <v>29.449184814995593</v>
      </c>
      <c r="I23" s="5">
        <f>4/3*D24^3*PI()</f>
        <v>28.730912014629848</v>
      </c>
    </row>
    <row r="24" spans="1:9" x14ac:dyDescent="0.45">
      <c r="B24" s="1" t="s">
        <v>155</v>
      </c>
      <c r="D24" s="15">
        <v>1.9</v>
      </c>
      <c r="E24" s="1" t="s">
        <v>0</v>
      </c>
      <c r="F24" s="2">
        <f>I116</f>
        <v>173.47894791675697</v>
      </c>
      <c r="G24" s="1" t="s">
        <v>222</v>
      </c>
      <c r="H24" s="2">
        <f>F24-H23</f>
        <v>144.02976310176138</v>
      </c>
      <c r="I24" s="5"/>
    </row>
    <row r="25" spans="1:9" x14ac:dyDescent="0.45">
      <c r="B25" s="1" t="s">
        <v>166</v>
      </c>
      <c r="D25" s="16">
        <f>D24-D23</f>
        <v>0.39999999999999991</v>
      </c>
      <c r="F25" s="2">
        <f>I112</f>
        <v>53.232034859334227</v>
      </c>
      <c r="G25" s="1" t="s">
        <v>229</v>
      </c>
      <c r="I25" s="5"/>
    </row>
    <row r="26" spans="1:9" x14ac:dyDescent="0.45">
      <c r="B26" s="1" t="s">
        <v>212</v>
      </c>
      <c r="D26" s="1">
        <f>D21+2*D23</f>
        <v>15.39</v>
      </c>
      <c r="I26" s="5"/>
    </row>
    <row r="27" spans="1:9" x14ac:dyDescent="0.45">
      <c r="B27" s="1" t="s">
        <v>213</v>
      </c>
      <c r="D27" s="1">
        <f>D22+2*D24</f>
        <v>16.190000000000001</v>
      </c>
      <c r="E27" s="1">
        <f>D22+2*D24</f>
        <v>16.190000000000001</v>
      </c>
      <c r="I27" s="5"/>
    </row>
    <row r="28" spans="1:9" x14ac:dyDescent="0.45">
      <c r="F28" s="2">
        <f>F23-F24</f>
        <v>-54.5274450865125</v>
      </c>
      <c r="I28" s="5"/>
    </row>
    <row r="29" spans="1:9" x14ac:dyDescent="0.45">
      <c r="B29" s="1" t="s">
        <v>214</v>
      </c>
      <c r="D29" s="5">
        <f>D47/(D26*2*D23*2*D23)</f>
        <v>0.73436514433328659</v>
      </c>
      <c r="I29" s="5"/>
    </row>
    <row r="30" spans="1:9" x14ac:dyDescent="0.45">
      <c r="B30" s="1" t="s">
        <v>215</v>
      </c>
      <c r="D30" s="5">
        <f>D55/(D27*2*D24*2*D24)</f>
        <v>0.74204926229537482</v>
      </c>
      <c r="I30" s="5"/>
    </row>
    <row r="31" spans="1:9" x14ac:dyDescent="0.45">
      <c r="I31" s="5"/>
    </row>
    <row r="32" spans="1:9" x14ac:dyDescent="0.45">
      <c r="I32" s="5"/>
    </row>
    <row r="33" spans="1:9" x14ac:dyDescent="0.45">
      <c r="I33" s="5"/>
    </row>
    <row r="34" spans="1:9" x14ac:dyDescent="0.45">
      <c r="A34" s="48">
        <v>5</v>
      </c>
      <c r="B34" s="24" t="s">
        <v>204</v>
      </c>
      <c r="I34" s="5"/>
    </row>
    <row r="35" spans="1:9" x14ac:dyDescent="0.45">
      <c r="B35" s="1" t="s">
        <v>205</v>
      </c>
      <c r="D35" s="2">
        <f>2*D23*PI()*D21</f>
        <v>116.77299893393261</v>
      </c>
      <c r="E35" s="1" t="s">
        <v>11</v>
      </c>
      <c r="I35" s="5"/>
    </row>
    <row r="36" spans="1:9" x14ac:dyDescent="0.45">
      <c r="B36" s="1" t="s">
        <v>13</v>
      </c>
      <c r="D36" s="2">
        <f>4*D23^2*PI()</f>
        <v>28.274333882308138</v>
      </c>
      <c r="E36" s="1" t="s">
        <v>11</v>
      </c>
      <c r="I36" s="5"/>
    </row>
    <row r="37" spans="1:9" x14ac:dyDescent="0.45">
      <c r="B37" s="1" t="s">
        <v>22</v>
      </c>
      <c r="D37" s="2">
        <f>D35+D36</f>
        <v>145.04733281624075</v>
      </c>
      <c r="E37" s="1" t="s">
        <v>11</v>
      </c>
      <c r="I37" s="5"/>
    </row>
    <row r="38" spans="1:9" x14ac:dyDescent="0.45">
      <c r="I38" s="5"/>
    </row>
    <row r="39" spans="1:9" x14ac:dyDescent="0.45">
      <c r="B39" s="24" t="s">
        <v>203</v>
      </c>
      <c r="I39" s="5"/>
    </row>
    <row r="40" spans="1:9" x14ac:dyDescent="0.45">
      <c r="B40" s="1" t="s">
        <v>206</v>
      </c>
      <c r="D40" s="2">
        <f>2*D24*PI()*D22</f>
        <v>147.91246531631464</v>
      </c>
      <c r="E40" s="1" t="s">
        <v>11</v>
      </c>
      <c r="I40" s="5"/>
    </row>
    <row r="41" spans="1:9" x14ac:dyDescent="0.45">
      <c r="B41" s="1" t="s">
        <v>207</v>
      </c>
      <c r="D41" s="2">
        <f>4*D24^2*PI()</f>
        <v>45.364597917836612</v>
      </c>
      <c r="E41" s="1" t="s">
        <v>11</v>
      </c>
      <c r="I41" s="5"/>
    </row>
    <row r="42" spans="1:9" x14ac:dyDescent="0.45">
      <c r="B42" s="1" t="s">
        <v>22</v>
      </c>
      <c r="D42" s="2">
        <f>D40+D41</f>
        <v>193.27706323415126</v>
      </c>
      <c r="E42" s="1" t="s">
        <v>11</v>
      </c>
      <c r="I42" s="5"/>
    </row>
    <row r="43" spans="1:9" x14ac:dyDescent="0.45">
      <c r="I43" s="5"/>
    </row>
    <row r="44" spans="1:9" x14ac:dyDescent="0.45">
      <c r="A44" s="48">
        <v>6</v>
      </c>
      <c r="B44" s="24" t="s">
        <v>197</v>
      </c>
      <c r="I44" s="5"/>
    </row>
    <row r="45" spans="1:9" x14ac:dyDescent="0.45">
      <c r="B45" s="1" t="s">
        <v>151</v>
      </c>
      <c r="D45" s="2">
        <f>D23^2*PI()*D21</f>
        <v>87.579749200449456</v>
      </c>
      <c r="E45" s="1" t="s">
        <v>12</v>
      </c>
      <c r="I45" s="5"/>
    </row>
    <row r="46" spans="1:9" x14ac:dyDescent="0.45">
      <c r="B46" s="1" t="s">
        <v>91</v>
      </c>
      <c r="D46" s="2">
        <f>4/3*D23^3*PI()</f>
        <v>14.137166941154069</v>
      </c>
      <c r="E46" s="1" t="s">
        <v>12</v>
      </c>
      <c r="I46" s="5"/>
    </row>
    <row r="47" spans="1:9" x14ac:dyDescent="0.45">
      <c r="B47" s="1" t="s">
        <v>208</v>
      </c>
      <c r="D47" s="20">
        <f>D45+D46</f>
        <v>101.71691614160352</v>
      </c>
      <c r="E47" s="16" t="s">
        <v>12</v>
      </c>
      <c r="I47" s="5"/>
    </row>
    <row r="48" spans="1:9" x14ac:dyDescent="0.45">
      <c r="B48" s="1" t="s">
        <v>209</v>
      </c>
      <c r="D48" s="2">
        <f>D47*$D$3/1000</f>
        <v>104.25983904514361</v>
      </c>
      <c r="E48" s="1" t="s">
        <v>30</v>
      </c>
      <c r="I48" s="5"/>
    </row>
    <row r="49" spans="2:43" x14ac:dyDescent="0.45">
      <c r="D49" s="2"/>
      <c r="I49" s="5"/>
    </row>
    <row r="50" spans="2:43" x14ac:dyDescent="0.45">
      <c r="D50" s="2"/>
      <c r="I50" s="5"/>
    </row>
    <row r="51" spans="2:43" x14ac:dyDescent="0.45">
      <c r="B51" s="24" t="s">
        <v>198</v>
      </c>
      <c r="I51" s="5"/>
    </row>
    <row r="52" spans="2:43" x14ac:dyDescent="0.45">
      <c r="B52" s="1" t="s">
        <v>199</v>
      </c>
      <c r="D52" s="2">
        <f>D24^2*PI()*D22</f>
        <v>140.51684205049892</v>
      </c>
      <c r="E52" s="1" t="s">
        <v>12</v>
      </c>
      <c r="I52" s="5"/>
    </row>
    <row r="53" spans="2:43" x14ac:dyDescent="0.45">
      <c r="B53" s="1" t="s">
        <v>200</v>
      </c>
      <c r="D53" s="2">
        <f>4/3*D24^3*PI()</f>
        <v>28.730912014629848</v>
      </c>
      <c r="E53" s="1" t="s">
        <v>12</v>
      </c>
      <c r="I53" s="5"/>
    </row>
    <row r="54" spans="2:43" x14ac:dyDescent="0.45">
      <c r="B54" s="1" t="s">
        <v>210</v>
      </c>
      <c r="D54" s="20">
        <f>D52+D53</f>
        <v>169.24775406512876</v>
      </c>
      <c r="E54" s="16" t="s">
        <v>12</v>
      </c>
      <c r="I54" s="5"/>
    </row>
    <row r="55" spans="2:43" x14ac:dyDescent="0.45">
      <c r="B55" s="1" t="s">
        <v>211</v>
      </c>
      <c r="D55" s="2">
        <f>D54*$D$3/1000</f>
        <v>173.47894791675697</v>
      </c>
      <c r="E55" s="1" t="s">
        <v>30</v>
      </c>
      <c r="I55" s="5"/>
      <c r="R55" s="2"/>
      <c r="S55" s="2"/>
      <c r="T55" s="2"/>
      <c r="U55" s="2"/>
      <c r="V55" s="2"/>
      <c r="W55" s="2"/>
      <c r="AA55" s="2"/>
      <c r="AB55" s="2"/>
      <c r="AC55" s="2"/>
      <c r="AD55" s="2"/>
      <c r="AE55" s="2"/>
      <c r="AF55" s="2"/>
      <c r="AL55" s="2"/>
      <c r="AM55" s="2"/>
      <c r="AN55" s="2"/>
      <c r="AO55" s="2"/>
      <c r="AP55" s="2"/>
      <c r="AQ55" s="2"/>
    </row>
    <row r="56" spans="2:43" x14ac:dyDescent="0.45">
      <c r="D56" s="2"/>
      <c r="I56" s="5"/>
      <c r="R56" s="2"/>
      <c r="S56" s="2"/>
      <c r="T56" s="2"/>
      <c r="U56" s="2"/>
      <c r="V56" s="2"/>
      <c r="W56" s="2"/>
      <c r="AA56" s="2"/>
      <c r="AB56" s="2"/>
      <c r="AC56" s="2"/>
      <c r="AD56" s="2"/>
      <c r="AE56" s="2"/>
      <c r="AF56" s="2"/>
      <c r="AL56" s="2"/>
      <c r="AM56" s="2"/>
      <c r="AN56" s="2"/>
      <c r="AO56" s="2"/>
      <c r="AP56" s="2"/>
      <c r="AQ56" s="2"/>
    </row>
    <row r="57" spans="2:43" x14ac:dyDescent="0.45">
      <c r="D57" s="2"/>
      <c r="I57" s="5"/>
      <c r="R57" s="2"/>
      <c r="S57" s="2"/>
      <c r="T57" s="2"/>
      <c r="U57" s="2"/>
      <c r="V57" s="2"/>
      <c r="W57" s="2"/>
      <c r="AA57" s="2"/>
      <c r="AB57" s="2"/>
      <c r="AC57" s="2"/>
      <c r="AD57" s="2"/>
      <c r="AE57" s="2"/>
      <c r="AF57" s="2"/>
      <c r="AL57" s="2"/>
      <c r="AM57" s="2"/>
      <c r="AN57" s="2"/>
      <c r="AO57" s="2"/>
      <c r="AP57" s="2"/>
      <c r="AQ57" s="2"/>
    </row>
    <row r="58" spans="2:43" ht="19.5" customHeight="1" x14ac:dyDescent="0.45">
      <c r="B58" s="1" t="s">
        <v>14</v>
      </c>
      <c r="F58" s="8" t="s">
        <v>52</v>
      </c>
      <c r="I58" s="5"/>
      <c r="R58" s="2"/>
      <c r="S58" s="2"/>
      <c r="T58" s="2"/>
      <c r="U58" s="2"/>
      <c r="V58" s="2"/>
      <c r="W58" s="2"/>
      <c r="AA58" s="2"/>
      <c r="AB58" s="2"/>
      <c r="AC58" s="2"/>
      <c r="AD58" s="2"/>
      <c r="AE58" s="2"/>
      <c r="AF58" s="2"/>
      <c r="AL58" s="2"/>
      <c r="AM58" s="2"/>
      <c r="AN58" s="2"/>
      <c r="AO58" s="2"/>
      <c r="AP58" s="2"/>
      <c r="AQ58" s="2"/>
    </row>
    <row r="59" spans="2:43" x14ac:dyDescent="0.45">
      <c r="B59" s="1" t="s">
        <v>31</v>
      </c>
      <c r="D59" s="2">
        <f>D60*D61/2/(10*D62*D63-0.5*D60)</f>
        <v>18.20930949558328</v>
      </c>
      <c r="E59" s="2" t="s">
        <v>19</v>
      </c>
      <c r="F59" s="2">
        <f>D60*D61/(20*D62+D60)</f>
        <v>17.990908152479864</v>
      </c>
      <c r="G59" s="1" t="s">
        <v>19</v>
      </c>
      <c r="H59" s="1">
        <v>10</v>
      </c>
      <c r="I59" s="5"/>
      <c r="R59" s="2"/>
      <c r="S59" s="2"/>
      <c r="T59" s="2"/>
      <c r="U59" s="2"/>
      <c r="V59" s="2"/>
      <c r="W59" s="2"/>
      <c r="AA59" s="2"/>
      <c r="AB59" s="2"/>
      <c r="AC59" s="2"/>
      <c r="AD59" s="2"/>
      <c r="AE59" s="2"/>
      <c r="AF59" s="2"/>
      <c r="AL59" s="2"/>
      <c r="AM59" s="2"/>
      <c r="AN59" s="2"/>
      <c r="AO59" s="2"/>
      <c r="AP59" s="2"/>
      <c r="AQ59" s="2"/>
    </row>
    <row r="60" spans="2:43" x14ac:dyDescent="0.45">
      <c r="B60" s="1" t="s">
        <v>15</v>
      </c>
      <c r="D60" s="2">
        <f>D17</f>
        <v>15.082875</v>
      </c>
      <c r="E60" s="1" t="s">
        <v>8</v>
      </c>
      <c r="I60" s="5"/>
      <c r="R60" s="2"/>
      <c r="S60" s="2"/>
      <c r="T60" s="2"/>
      <c r="U60" s="2"/>
      <c r="V60" s="2"/>
      <c r="W60" s="2"/>
      <c r="AA60" s="2"/>
      <c r="AB60" s="2"/>
      <c r="AC60" s="2"/>
      <c r="AD60" s="2"/>
      <c r="AE60" s="2"/>
      <c r="AF60" s="2"/>
      <c r="AL60" s="2"/>
      <c r="AM60" s="2"/>
      <c r="AN60" s="2"/>
      <c r="AO60" s="2"/>
      <c r="AP60" s="2"/>
      <c r="AQ60" s="2"/>
    </row>
    <row r="61" spans="2:43" x14ac:dyDescent="0.45">
      <c r="B61" s="1" t="s">
        <v>51</v>
      </c>
      <c r="D61" s="1">
        <f>D23*2*1000</f>
        <v>3000</v>
      </c>
      <c r="E61" s="1" t="s">
        <v>19</v>
      </c>
      <c r="I61" s="5"/>
      <c r="R61" s="2"/>
      <c r="S61" s="2"/>
      <c r="T61" s="2"/>
      <c r="U61" s="2"/>
      <c r="V61" s="2"/>
      <c r="W61" s="2"/>
      <c r="AA61" s="2"/>
      <c r="AB61" s="2"/>
      <c r="AC61" s="2"/>
      <c r="AD61" s="2"/>
      <c r="AE61" s="2"/>
      <c r="AF61" s="2"/>
      <c r="AL61" s="2"/>
      <c r="AM61" s="2"/>
      <c r="AN61" s="2"/>
      <c r="AO61" s="2"/>
      <c r="AP61" s="2"/>
      <c r="AQ61" s="2"/>
    </row>
    <row r="62" spans="2:43" x14ac:dyDescent="0.45">
      <c r="B62" s="1" t="s">
        <v>16</v>
      </c>
      <c r="D62" s="16">
        <v>125</v>
      </c>
      <c r="E62" s="1" t="s">
        <v>17</v>
      </c>
      <c r="I62" s="5"/>
      <c r="R62" s="2"/>
      <c r="S62" s="2"/>
      <c r="T62" s="2"/>
      <c r="U62" s="2"/>
      <c r="V62" s="2"/>
      <c r="W62" s="2"/>
      <c r="AA62" s="2"/>
      <c r="AB62" s="2"/>
      <c r="AC62" s="2"/>
      <c r="AD62" s="2"/>
      <c r="AE62" s="2"/>
      <c r="AF62" s="2"/>
      <c r="AL62" s="2"/>
      <c r="AM62" s="2"/>
      <c r="AN62" s="2"/>
      <c r="AO62" s="2"/>
      <c r="AP62" s="2"/>
      <c r="AQ62" s="2"/>
    </row>
    <row r="63" spans="2:43" x14ac:dyDescent="0.45">
      <c r="B63" s="1" t="s">
        <v>18</v>
      </c>
      <c r="D63" s="1">
        <v>1</v>
      </c>
      <c r="I63" s="5"/>
      <c r="R63" s="2"/>
      <c r="S63" s="2"/>
      <c r="T63" s="2"/>
      <c r="U63" s="2"/>
      <c r="V63" s="2"/>
      <c r="W63" s="2"/>
      <c r="AA63" s="2"/>
      <c r="AB63" s="2"/>
      <c r="AC63" s="2"/>
      <c r="AD63" s="2"/>
      <c r="AE63" s="2"/>
      <c r="AF63" s="2"/>
      <c r="AL63" s="2"/>
      <c r="AM63" s="2"/>
      <c r="AN63" s="2"/>
      <c r="AO63" s="2"/>
      <c r="AP63" s="2"/>
      <c r="AQ63" s="2"/>
    </row>
    <row r="64" spans="2:43" x14ac:dyDescent="0.45">
      <c r="R64" s="2"/>
      <c r="S64" s="2"/>
      <c r="T64" s="2"/>
      <c r="U64" s="2"/>
      <c r="V64" s="2"/>
      <c r="W64" s="2"/>
      <c r="AA64" s="2"/>
      <c r="AB64" s="2"/>
      <c r="AC64" s="2"/>
      <c r="AD64" s="2"/>
      <c r="AE64" s="2"/>
      <c r="AF64" s="2"/>
      <c r="AL64" s="2"/>
      <c r="AM64" s="2"/>
      <c r="AN64" s="2"/>
      <c r="AO64" s="2"/>
      <c r="AP64" s="2"/>
      <c r="AQ64" s="2"/>
    </row>
    <row r="65" spans="1:43" x14ac:dyDescent="0.45">
      <c r="A65" s="48">
        <v>7</v>
      </c>
      <c r="B65" s="24" t="s">
        <v>60</v>
      </c>
      <c r="R65" s="2"/>
      <c r="S65" s="2"/>
      <c r="T65" s="2"/>
      <c r="U65" s="2"/>
      <c r="V65" s="2"/>
      <c r="W65" s="2"/>
      <c r="AA65" s="2"/>
      <c r="AB65" s="2"/>
      <c r="AC65" s="2"/>
      <c r="AD65" s="2"/>
      <c r="AE65" s="2"/>
      <c r="AF65" s="2"/>
      <c r="AL65" s="2"/>
      <c r="AM65" s="2"/>
      <c r="AN65" s="2"/>
      <c r="AO65" s="2"/>
      <c r="AP65" s="2"/>
      <c r="AQ65" s="2"/>
    </row>
    <row r="66" spans="1:43" x14ac:dyDescent="0.45">
      <c r="B66" s="6" t="s">
        <v>196</v>
      </c>
      <c r="F66" s="2">
        <f>D37*F59/1000*D4/1000*1.5*1.5</f>
        <v>46.090880894935026</v>
      </c>
      <c r="G66" s="1" t="s">
        <v>30</v>
      </c>
      <c r="H66" s="1">
        <f>D42*H59/1000*D4/1000*1.5</f>
        <v>22.758374195821307</v>
      </c>
    </row>
    <row r="69" spans="1:43" x14ac:dyDescent="0.45">
      <c r="A69" s="48">
        <v>8</v>
      </c>
      <c r="B69" s="24" t="s">
        <v>20</v>
      </c>
    </row>
    <row r="70" spans="1:43" x14ac:dyDescent="0.45">
      <c r="B70" s="1" t="s">
        <v>24</v>
      </c>
      <c r="E70" s="47">
        <f>D13</f>
        <v>10</v>
      </c>
      <c r="F70" s="1" t="s">
        <v>25</v>
      </c>
      <c r="G70" s="1" t="s">
        <v>72</v>
      </c>
      <c r="H70" s="5">
        <f>1852/3600</f>
        <v>0.51444444444444448</v>
      </c>
    </row>
    <row r="71" spans="1:43" x14ac:dyDescent="0.45">
      <c r="B71" s="1" t="s">
        <v>24</v>
      </c>
      <c r="E71" s="3">
        <f>E70*H70</f>
        <v>5.1444444444444448</v>
      </c>
      <c r="F71" s="1" t="s">
        <v>26</v>
      </c>
    </row>
    <row r="72" spans="1:43" x14ac:dyDescent="0.45">
      <c r="B72" s="1" t="s">
        <v>217</v>
      </c>
      <c r="E72" s="3">
        <f>E71/SQRT(9.08665*D27)</f>
        <v>0.42414383330038274</v>
      </c>
    </row>
    <row r="73" spans="1:43" x14ac:dyDescent="0.45">
      <c r="B73" s="1" t="s">
        <v>21</v>
      </c>
      <c r="E73" s="9">
        <f>0.075/(LOG10(E74)-2)^2</f>
        <v>2.1944396478437494E-3</v>
      </c>
    </row>
    <row r="74" spans="1:43" x14ac:dyDescent="0.45">
      <c r="B74" s="1" t="s">
        <v>218</v>
      </c>
      <c r="E74" s="9">
        <f>E71*(D27)/E75</f>
        <v>70167275.10998784</v>
      </c>
      <c r="G74" s="8"/>
      <c r="H74" s="5"/>
    </row>
    <row r="75" spans="1:43" x14ac:dyDescent="0.45">
      <c r="B75" s="1" t="s">
        <v>69</v>
      </c>
      <c r="E75" s="9">
        <v>1.187E-6</v>
      </c>
      <c r="F75" s="1" t="s">
        <v>27</v>
      </c>
      <c r="G75" s="8"/>
      <c r="H75" s="5"/>
    </row>
    <row r="76" spans="1:43" x14ac:dyDescent="0.45">
      <c r="B76" s="1" t="s">
        <v>67</v>
      </c>
      <c r="E76" s="9">
        <f>E73*(1+E78)</f>
        <v>4.2824858083488921E-3</v>
      </c>
      <c r="G76" s="8"/>
      <c r="H76" s="5"/>
    </row>
    <row r="77" spans="1:43" x14ac:dyDescent="0.45">
      <c r="B77" s="10" t="s">
        <v>71</v>
      </c>
      <c r="E77" s="9"/>
      <c r="G77" s="8"/>
      <c r="H77" s="5"/>
    </row>
    <row r="78" spans="1:43" x14ac:dyDescent="0.45">
      <c r="B78" s="10" t="s">
        <v>216</v>
      </c>
      <c r="E78" s="3">
        <f>-0.095+25.6*D30/(D27/(2*D24))^2</f>
        <v>0.95151678587144173</v>
      </c>
      <c r="H78" s="5"/>
    </row>
    <row r="79" spans="1:43" x14ac:dyDescent="0.45">
      <c r="B79" s="1" t="s">
        <v>68</v>
      </c>
      <c r="E79" s="2">
        <f>E76*0.5*D3*E71^2*D37/1000</f>
        <v>8.4251280949272438</v>
      </c>
      <c r="F79" s="1" t="s">
        <v>29</v>
      </c>
      <c r="H79" s="3"/>
    </row>
    <row r="80" spans="1:43" x14ac:dyDescent="0.45">
      <c r="B80" s="1" t="s">
        <v>23</v>
      </c>
      <c r="E80" s="2">
        <f>E79*E71</f>
        <v>43.342603421681268</v>
      </c>
      <c r="F80" s="1" t="s">
        <v>28</v>
      </c>
      <c r="H80" s="3"/>
    </row>
    <row r="81" spans="1:32" x14ac:dyDescent="0.45">
      <c r="B81" s="1" t="s">
        <v>70</v>
      </c>
      <c r="E81" s="2">
        <f>E80/(0.5*0.98)</f>
        <v>88.454292697308716</v>
      </c>
      <c r="F81" s="1" t="s">
        <v>28</v>
      </c>
    </row>
    <row r="82" spans="1:32" x14ac:dyDescent="0.45">
      <c r="B82" s="12" t="s">
        <v>85</v>
      </c>
      <c r="E82" s="13">
        <f>E81/E83</f>
        <v>88.454292697308716</v>
      </c>
      <c r="F82" s="1" t="s">
        <v>28</v>
      </c>
      <c r="N82" s="12"/>
      <c r="O82" s="12"/>
    </row>
    <row r="83" spans="1:32" x14ac:dyDescent="0.45">
      <c r="B83" s="1" t="s">
        <v>219</v>
      </c>
      <c r="E83" s="16">
        <v>1</v>
      </c>
    </row>
    <row r="84" spans="1:32" x14ac:dyDescent="0.45">
      <c r="B84" s="1" t="s">
        <v>90</v>
      </c>
      <c r="E84" s="2">
        <f>E82*E171</f>
        <v>8.8454292697308716</v>
      </c>
      <c r="F84" s="1" t="s">
        <v>30</v>
      </c>
    </row>
    <row r="85" spans="1:32" x14ac:dyDescent="0.45">
      <c r="E85" s="2"/>
    </row>
    <row r="86" spans="1:32" x14ac:dyDescent="0.45">
      <c r="E86" s="1" t="s">
        <v>173</v>
      </c>
      <c r="F86" s="1" t="s">
        <v>174</v>
      </c>
    </row>
    <row r="87" spans="1:32" x14ac:dyDescent="0.45">
      <c r="A87" s="48">
        <v>9</v>
      </c>
      <c r="B87" s="24" t="s">
        <v>171</v>
      </c>
      <c r="E87" s="2"/>
    </row>
    <row r="88" spans="1:32" x14ac:dyDescent="0.45">
      <c r="B88" s="1" t="s">
        <v>167</v>
      </c>
      <c r="C88" s="1">
        <v>0.02</v>
      </c>
      <c r="D88" s="1" t="s">
        <v>168</v>
      </c>
      <c r="F88" s="2">
        <f>C88*C158*E82</f>
        <v>3.5381717078923489</v>
      </c>
    </row>
    <row r="89" spans="1:32" x14ac:dyDescent="0.45">
      <c r="B89" s="1" t="s">
        <v>169</v>
      </c>
      <c r="C89" s="1">
        <v>17.5</v>
      </c>
      <c r="D89" s="1" t="s">
        <v>170</v>
      </c>
      <c r="E89" s="2">
        <f>C89*C158*E82/1000</f>
        <v>3.0959002444058052</v>
      </c>
    </row>
    <row r="91" spans="1:32" ht="19" thickBot="1" x14ac:dyDescent="0.5">
      <c r="A91" s="48">
        <v>10</v>
      </c>
      <c r="B91" s="24" t="s">
        <v>188</v>
      </c>
    </row>
    <row r="92" spans="1:32" x14ac:dyDescent="0.45">
      <c r="B92" s="26"/>
      <c r="C92" s="27"/>
      <c r="D92" s="27" t="s">
        <v>176</v>
      </c>
      <c r="E92" s="27"/>
      <c r="F92" s="28"/>
      <c r="G92" s="27"/>
      <c r="H92" s="28"/>
      <c r="I92" s="27" t="s">
        <v>64</v>
      </c>
      <c r="J92" s="27" t="s">
        <v>32</v>
      </c>
      <c r="K92" s="28"/>
      <c r="L92" s="29" t="s">
        <v>33</v>
      </c>
      <c r="M92" s="28"/>
      <c r="N92" s="27" t="s">
        <v>66</v>
      </c>
      <c r="O92" s="27" t="s">
        <v>65</v>
      </c>
      <c r="P92" s="30"/>
    </row>
    <row r="93" spans="1:32" x14ac:dyDescent="0.45">
      <c r="B93" s="31"/>
      <c r="C93" s="32"/>
      <c r="D93" s="32"/>
      <c r="E93" s="33"/>
      <c r="F93" s="32"/>
      <c r="G93" s="32"/>
      <c r="H93" s="32"/>
      <c r="I93" s="33"/>
      <c r="J93" s="32"/>
      <c r="K93" s="32"/>
      <c r="L93" s="34"/>
      <c r="M93" s="32"/>
      <c r="N93" s="33"/>
      <c r="O93" s="33"/>
      <c r="P93" s="35"/>
      <c r="R93" s="2"/>
      <c r="S93" s="2"/>
      <c r="T93" s="2"/>
      <c r="U93" s="2"/>
      <c r="V93" s="2"/>
      <c r="W93" s="2"/>
      <c r="AA93" s="2"/>
      <c r="AB93" s="2"/>
      <c r="AC93" s="2"/>
      <c r="AD93" s="2"/>
      <c r="AE93" s="2"/>
      <c r="AF93" s="2"/>
    </row>
    <row r="94" spans="1:32" x14ac:dyDescent="0.45">
      <c r="B94" s="31" t="s">
        <v>153</v>
      </c>
      <c r="C94" s="32"/>
      <c r="D94" s="32" t="s">
        <v>48</v>
      </c>
      <c r="E94" s="33"/>
      <c r="F94" s="32"/>
      <c r="G94" s="32"/>
      <c r="H94" s="32"/>
      <c r="I94" s="33">
        <f>F66</f>
        <v>46.090880894935026</v>
      </c>
      <c r="J94" s="32">
        <f>D23+D25</f>
        <v>1.9</v>
      </c>
      <c r="K94" s="32" t="s">
        <v>61</v>
      </c>
      <c r="L94" s="34">
        <f>D26/2</f>
        <v>7.6950000000000003</v>
      </c>
      <c r="M94" s="32"/>
      <c r="N94" s="33">
        <f>I94*J94</f>
        <v>87.572673700376541</v>
      </c>
      <c r="O94" s="33">
        <f>I94*L94</f>
        <v>354.66932848652505</v>
      </c>
      <c r="P94" s="35"/>
      <c r="R94" s="2"/>
      <c r="S94" s="2"/>
      <c r="T94" s="2"/>
      <c r="U94" s="2"/>
      <c r="V94" s="2"/>
      <c r="W94" s="2"/>
      <c r="AA94" s="2"/>
      <c r="AB94" s="2"/>
      <c r="AC94" s="2"/>
      <c r="AD94" s="2"/>
      <c r="AE94" s="2"/>
      <c r="AF94" s="2"/>
    </row>
    <row r="95" spans="1:32" x14ac:dyDescent="0.45">
      <c r="B95" s="31" t="s">
        <v>152</v>
      </c>
      <c r="C95" s="32"/>
      <c r="D95" s="32"/>
      <c r="E95" s="33"/>
      <c r="F95" s="32"/>
      <c r="G95" s="32"/>
      <c r="H95" s="32"/>
      <c r="I95" s="33">
        <f>5*156/1000</f>
        <v>0.78</v>
      </c>
      <c r="J95" s="32">
        <f>D23/2+D25</f>
        <v>1.1499999999999999</v>
      </c>
      <c r="K95" s="32"/>
      <c r="L95" s="34">
        <f>E219</f>
        <v>13.405152767149396</v>
      </c>
      <c r="M95" s="32"/>
      <c r="N95" s="33">
        <f t="shared" ref="N95:N108" si="0">I95*J95</f>
        <v>0.89699999999999991</v>
      </c>
      <c r="O95" s="33">
        <f t="shared" ref="O95:O108" si="1">I95*L95</f>
        <v>10.456019158376529</v>
      </c>
      <c r="P95" s="35"/>
      <c r="R95" s="2"/>
      <c r="S95" s="2"/>
      <c r="T95" s="2"/>
      <c r="U95" s="2"/>
      <c r="V95" s="2"/>
      <c r="W95" s="2"/>
      <c r="AA95" s="2"/>
      <c r="AB95" s="2"/>
      <c r="AC95" s="2"/>
      <c r="AD95" s="2"/>
      <c r="AE95" s="2"/>
      <c r="AF95" s="2"/>
    </row>
    <row r="96" spans="1:32" x14ac:dyDescent="0.45">
      <c r="B96" s="31" t="s">
        <v>161</v>
      </c>
      <c r="C96" s="32"/>
      <c r="D96" s="32"/>
      <c r="E96" s="33"/>
      <c r="F96" s="32"/>
      <c r="G96" s="32"/>
      <c r="H96" s="32"/>
      <c r="I96" s="33">
        <v>1</v>
      </c>
      <c r="J96" s="32">
        <f>D23/2+D25</f>
        <v>1.1499999999999999</v>
      </c>
      <c r="K96" s="32"/>
      <c r="L96" s="34">
        <f>E210</f>
        <v>10.378568120575348</v>
      </c>
      <c r="M96" s="32"/>
      <c r="N96" s="33">
        <f t="shared" si="0"/>
        <v>1.1499999999999999</v>
      </c>
      <c r="O96" s="33">
        <f t="shared" si="1"/>
        <v>10.378568120575348</v>
      </c>
      <c r="P96" s="35"/>
      <c r="R96" s="2"/>
      <c r="S96" s="2"/>
      <c r="T96" s="2"/>
      <c r="U96" s="2"/>
      <c r="V96" s="2"/>
      <c r="W96" s="2"/>
      <c r="AA96" s="2"/>
      <c r="AB96" s="2"/>
      <c r="AC96" s="2"/>
      <c r="AD96" s="2"/>
      <c r="AE96" s="2"/>
      <c r="AF96" s="2"/>
    </row>
    <row r="97" spans="2:32" x14ac:dyDescent="0.45">
      <c r="B97" s="31" t="s">
        <v>162</v>
      </c>
      <c r="C97" s="32"/>
      <c r="D97" s="32"/>
      <c r="E97" s="33"/>
      <c r="F97" s="32"/>
      <c r="G97" s="32"/>
      <c r="H97" s="32"/>
      <c r="I97" s="33">
        <f>E84</f>
        <v>8.8454292697308716</v>
      </c>
      <c r="J97" s="32">
        <f>D23+D25</f>
        <v>1.9</v>
      </c>
      <c r="K97" s="32"/>
      <c r="L97" s="34">
        <f>E201</f>
        <v>7.4759917370006503</v>
      </c>
      <c r="M97" s="32"/>
      <c r="N97" s="33">
        <f t="shared" si="0"/>
        <v>16.806315612488657</v>
      </c>
      <c r="O97" s="33">
        <f t="shared" si="1"/>
        <v>66.128356130731689</v>
      </c>
      <c r="P97" s="35"/>
      <c r="R97" s="2"/>
      <c r="S97" s="2"/>
      <c r="T97" s="2"/>
      <c r="U97" s="2"/>
      <c r="V97" s="2"/>
      <c r="W97" s="2"/>
      <c r="AA97" s="2"/>
      <c r="AB97" s="2"/>
      <c r="AC97" s="2"/>
      <c r="AD97" s="2"/>
      <c r="AE97" s="2"/>
      <c r="AF97" s="2"/>
    </row>
    <row r="98" spans="2:32" x14ac:dyDescent="0.45">
      <c r="B98" s="31" t="s">
        <v>163</v>
      </c>
      <c r="C98" s="32"/>
      <c r="D98" s="32"/>
      <c r="E98" s="33"/>
      <c r="F98" s="32"/>
      <c r="G98" s="32"/>
      <c r="H98" s="32"/>
      <c r="I98" s="33">
        <f>F165</f>
        <v>5.3072575618385232</v>
      </c>
      <c r="J98" s="32">
        <f>D23/2+D25</f>
        <v>1.1499999999999999</v>
      </c>
      <c r="K98" s="32"/>
      <c r="L98" s="34">
        <f>E201</f>
        <v>7.4759917370006503</v>
      </c>
      <c r="M98" s="32"/>
      <c r="N98" s="33">
        <f t="shared" si="0"/>
        <v>6.103346196114301</v>
      </c>
      <c r="O98" s="33">
        <f t="shared" si="1"/>
        <v>39.677013678439017</v>
      </c>
      <c r="P98" s="35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</row>
    <row r="99" spans="2:32" x14ac:dyDescent="0.45">
      <c r="B99" s="31" t="s">
        <v>177</v>
      </c>
      <c r="C99" s="32"/>
      <c r="D99" s="32" t="s">
        <v>48</v>
      </c>
      <c r="E99" s="32"/>
      <c r="F99" s="32"/>
      <c r="G99" s="32"/>
      <c r="H99" s="32"/>
      <c r="I99" s="33"/>
      <c r="J99" s="32">
        <f>D23/2+D25</f>
        <v>1.1499999999999999</v>
      </c>
      <c r="K99" s="32" t="s">
        <v>61</v>
      </c>
      <c r="L99" s="34">
        <f>E192</f>
        <v>6.35</v>
      </c>
      <c r="M99" s="32"/>
      <c r="N99" s="33">
        <f t="shared" si="0"/>
        <v>0</v>
      </c>
      <c r="O99" s="33">
        <f t="shared" si="1"/>
        <v>0</v>
      </c>
      <c r="P99" s="35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</row>
    <row r="100" spans="2:32" x14ac:dyDescent="0.45">
      <c r="B100" s="31" t="s">
        <v>165</v>
      </c>
      <c r="C100" s="32"/>
      <c r="D100" s="32"/>
      <c r="E100" s="33"/>
      <c r="F100" s="32"/>
      <c r="G100" s="32"/>
      <c r="H100" s="32"/>
      <c r="I100" s="33">
        <f>2*100/1000</f>
        <v>0.2</v>
      </c>
      <c r="J100" s="32">
        <f>D23/2+D25</f>
        <v>1.1499999999999999</v>
      </c>
      <c r="K100" s="32"/>
      <c r="L100" s="34">
        <f>E182</f>
        <v>3.55</v>
      </c>
      <c r="M100" s="32"/>
      <c r="N100" s="33">
        <f t="shared" si="0"/>
        <v>0.22999999999999998</v>
      </c>
      <c r="O100" s="33">
        <f t="shared" si="1"/>
        <v>0.71</v>
      </c>
      <c r="P100" s="35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</row>
    <row r="101" spans="2:32" x14ac:dyDescent="0.45">
      <c r="B101" s="31" t="s">
        <v>164</v>
      </c>
      <c r="C101" s="32"/>
      <c r="D101" s="32"/>
      <c r="E101" s="33"/>
      <c r="F101" s="32"/>
      <c r="G101" s="32"/>
      <c r="H101" s="32"/>
      <c r="I101" s="33">
        <f>4*100/1000</f>
        <v>0.4</v>
      </c>
      <c r="J101" s="32">
        <f>D23/2+D25</f>
        <v>1.1499999999999999</v>
      </c>
      <c r="K101" s="32"/>
      <c r="L101" s="34">
        <f>E182</f>
        <v>3.55</v>
      </c>
      <c r="M101" s="32"/>
      <c r="N101" s="33">
        <f t="shared" si="0"/>
        <v>0.45999999999999996</v>
      </c>
      <c r="O101" s="33">
        <f t="shared" si="1"/>
        <v>1.42</v>
      </c>
      <c r="P101" s="35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</row>
    <row r="102" spans="2:32" x14ac:dyDescent="0.45">
      <c r="B102" s="31" t="s">
        <v>175</v>
      </c>
      <c r="C102" s="32"/>
      <c r="D102" s="32"/>
      <c r="E102" s="33"/>
      <c r="F102" s="32"/>
      <c r="G102" s="32"/>
      <c r="H102" s="32"/>
      <c r="I102" s="33">
        <f>E89</f>
        <v>3.0959002444058052</v>
      </c>
      <c r="J102" s="32">
        <f>D23/2+D25</f>
        <v>1.1499999999999999</v>
      </c>
      <c r="K102" s="32"/>
      <c r="L102" s="34">
        <f>D26/2</f>
        <v>7.6950000000000003</v>
      </c>
      <c r="M102" s="32"/>
      <c r="N102" s="33"/>
      <c r="O102" s="33"/>
      <c r="P102" s="35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</row>
    <row r="103" spans="2:32" x14ac:dyDescent="0.45">
      <c r="B103" s="31"/>
      <c r="C103" s="32"/>
      <c r="D103" s="32"/>
      <c r="E103" s="33"/>
      <c r="F103" s="32"/>
      <c r="G103" s="32"/>
      <c r="H103" s="32"/>
      <c r="I103" s="32"/>
      <c r="J103" s="32"/>
      <c r="K103" s="32"/>
      <c r="L103" s="32"/>
      <c r="M103" s="32"/>
      <c r="N103" s="33"/>
      <c r="O103" s="33"/>
      <c r="P103" s="35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</row>
    <row r="104" spans="2:32" x14ac:dyDescent="0.45">
      <c r="B104" s="31" t="s">
        <v>160</v>
      </c>
      <c r="C104" s="32"/>
      <c r="D104" s="33">
        <v>100</v>
      </c>
      <c r="E104" s="33"/>
      <c r="F104" s="32"/>
      <c r="G104" s="36"/>
      <c r="H104" s="32"/>
      <c r="I104" s="33">
        <f>E221*$D$3/1000*D104/100</f>
        <v>4.379380159104171</v>
      </c>
      <c r="J104" s="34">
        <f>$D$24*D104/100</f>
        <v>1.9</v>
      </c>
      <c r="K104" s="37"/>
      <c r="L104" s="34">
        <f>E219</f>
        <v>13.405152767149396</v>
      </c>
      <c r="M104" s="32"/>
      <c r="N104" s="33">
        <f t="shared" si="0"/>
        <v>8.3208223022979251</v>
      </c>
      <c r="O104" s="33">
        <f t="shared" si="1"/>
        <v>58.70626005821444</v>
      </c>
      <c r="P104" s="35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</row>
    <row r="105" spans="2:32" x14ac:dyDescent="0.45">
      <c r="B105" s="31" t="s">
        <v>159</v>
      </c>
      <c r="C105" s="32"/>
      <c r="D105" s="33">
        <v>100</v>
      </c>
      <c r="E105" s="33"/>
      <c r="F105" s="32"/>
      <c r="G105" s="36"/>
      <c r="H105" s="32"/>
      <c r="I105" s="33">
        <f>E212*$D$3/1000*D105/100</f>
        <v>22.129749343007216</v>
      </c>
      <c r="J105" s="34">
        <f t="shared" ref="J105:J108" si="2">$D$24*D105/100</f>
        <v>1.9</v>
      </c>
      <c r="K105" s="37"/>
      <c r="L105" s="34">
        <f>E210</f>
        <v>10.378568120575348</v>
      </c>
      <c r="M105" s="32"/>
      <c r="N105" s="33">
        <f t="shared" si="0"/>
        <v>42.046523751713707</v>
      </c>
      <c r="O105" s="33">
        <f t="shared" si="1"/>
        <v>229.67511104765796</v>
      </c>
      <c r="P105" s="35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</row>
    <row r="106" spans="2:32" x14ac:dyDescent="0.45">
      <c r="B106" s="31" t="s">
        <v>158</v>
      </c>
      <c r="C106" s="32"/>
      <c r="D106" s="33">
        <v>100</v>
      </c>
      <c r="E106" s="33"/>
      <c r="F106" s="32"/>
      <c r="G106" s="36"/>
      <c r="H106" s="32"/>
      <c r="I106" s="33">
        <f>E203*$D$3/1000*D106/100</f>
        <v>3.2932215060155254</v>
      </c>
      <c r="J106" s="34">
        <f t="shared" si="2"/>
        <v>1.9</v>
      </c>
      <c r="K106" s="37"/>
      <c r="L106" s="34">
        <f>E201</f>
        <v>7.4759917370006503</v>
      </c>
      <c r="M106" s="32"/>
      <c r="N106" s="33">
        <f t="shared" si="0"/>
        <v>6.257120861429498</v>
      </c>
      <c r="O106" s="33">
        <f t="shared" si="1"/>
        <v>24.620096767084906</v>
      </c>
      <c r="P106" s="35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</row>
    <row r="107" spans="2:32" x14ac:dyDescent="0.45">
      <c r="B107" s="31" t="s">
        <v>42</v>
      </c>
      <c r="C107" s="32"/>
      <c r="D107" s="33">
        <v>100</v>
      </c>
      <c r="E107" s="33"/>
      <c r="F107" s="32"/>
      <c r="G107" s="36"/>
      <c r="H107" s="32"/>
      <c r="I107" s="33">
        <f>E194*$D$3/1000*D107/100</f>
        <v>5.4742251988802142</v>
      </c>
      <c r="J107" s="34">
        <f t="shared" si="2"/>
        <v>1.9</v>
      </c>
      <c r="K107" s="37" t="s">
        <v>63</v>
      </c>
      <c r="L107" s="34">
        <f>E192</f>
        <v>6.35</v>
      </c>
      <c r="M107" s="32"/>
      <c r="N107" s="33">
        <f t="shared" si="0"/>
        <v>10.401027877872407</v>
      </c>
      <c r="O107" s="33">
        <f t="shared" si="1"/>
        <v>34.76133001288936</v>
      </c>
      <c r="P107" s="35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</row>
    <row r="108" spans="2:32" x14ac:dyDescent="0.45">
      <c r="B108" s="31" t="s">
        <v>41</v>
      </c>
      <c r="C108" s="32"/>
      <c r="D108" s="33">
        <v>100</v>
      </c>
      <c r="E108" s="33"/>
      <c r="F108" s="32"/>
      <c r="G108" s="36"/>
      <c r="H108" s="32"/>
      <c r="I108" s="33">
        <f>E184*$D$3/1000*D108/100</f>
        <v>17.955458652327103</v>
      </c>
      <c r="J108" s="34">
        <f t="shared" si="2"/>
        <v>1.9</v>
      </c>
      <c r="K108" s="37" t="s">
        <v>62</v>
      </c>
      <c r="L108" s="34">
        <f>E182</f>
        <v>3.55</v>
      </c>
      <c r="M108" s="32"/>
      <c r="N108" s="33">
        <f t="shared" si="0"/>
        <v>34.115371439421494</v>
      </c>
      <c r="O108" s="33">
        <f t="shared" si="1"/>
        <v>63.741878215761211</v>
      </c>
      <c r="P108" s="35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</row>
    <row r="109" spans="2:32" x14ac:dyDescent="0.45">
      <c r="B109" s="31"/>
      <c r="C109" s="32"/>
      <c r="D109" s="33"/>
      <c r="E109" s="33"/>
      <c r="F109" s="32"/>
      <c r="G109" s="36"/>
      <c r="H109" s="32"/>
      <c r="I109" s="33"/>
      <c r="J109" s="34"/>
      <c r="K109" s="37"/>
      <c r="L109" s="34"/>
      <c r="M109" s="32"/>
      <c r="N109" s="33"/>
      <c r="O109" s="33"/>
      <c r="P109" s="35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</row>
    <row r="110" spans="2:32" x14ac:dyDescent="0.45">
      <c r="B110" s="31" t="s">
        <v>231</v>
      </c>
      <c r="C110" s="32"/>
      <c r="D110" s="33">
        <v>100</v>
      </c>
      <c r="E110" s="33"/>
      <c r="F110" s="32"/>
      <c r="G110" s="36"/>
      <c r="H110" s="32"/>
      <c r="I110" s="33">
        <f>D24^2*PI()*E147*D3/1000</f>
        <v>0</v>
      </c>
      <c r="J110" s="34"/>
      <c r="K110" s="37"/>
      <c r="L110" s="34"/>
      <c r="M110" s="32"/>
      <c r="N110" s="33"/>
      <c r="O110" s="33"/>
      <c r="P110" s="35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</row>
    <row r="111" spans="2:32" x14ac:dyDescent="0.45">
      <c r="B111" s="31" t="s">
        <v>232</v>
      </c>
      <c r="C111" s="32"/>
      <c r="D111" s="33">
        <v>100</v>
      </c>
      <c r="E111" s="33"/>
      <c r="F111" s="32"/>
      <c r="G111" s="36"/>
      <c r="H111" s="32"/>
      <c r="I111" s="33">
        <f>D24^2*PI()*E148*D3/1000</f>
        <v>0</v>
      </c>
      <c r="J111" s="34"/>
      <c r="K111" s="37"/>
      <c r="L111" s="34"/>
      <c r="M111" s="32"/>
      <c r="N111" s="33"/>
      <c r="O111" s="33"/>
      <c r="P111" s="35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</row>
    <row r="112" spans="2:32" x14ac:dyDescent="0.45">
      <c r="B112" s="31" t="s">
        <v>228</v>
      </c>
      <c r="C112" s="32"/>
      <c r="D112" s="32"/>
      <c r="E112" s="32"/>
      <c r="F112" s="32"/>
      <c r="G112" s="32"/>
      <c r="H112" s="32"/>
      <c r="I112" s="33">
        <f>SUM(I104:I111)</f>
        <v>53.232034859334227</v>
      </c>
      <c r="J112" s="32"/>
      <c r="K112" s="32"/>
      <c r="L112" s="32"/>
      <c r="M112" s="32"/>
      <c r="N112" s="32"/>
      <c r="O112" s="32"/>
      <c r="P112" s="35"/>
    </row>
    <row r="113" spans="1:32" x14ac:dyDescent="0.45">
      <c r="B113" s="31"/>
      <c r="C113" s="32"/>
      <c r="D113" s="33"/>
      <c r="E113" s="33"/>
      <c r="F113" s="32"/>
      <c r="G113" s="36"/>
      <c r="H113" s="32"/>
      <c r="I113" s="32" t="s">
        <v>76</v>
      </c>
      <c r="J113" s="32"/>
      <c r="K113" s="37"/>
      <c r="L113" s="34"/>
      <c r="M113" s="32"/>
      <c r="N113" s="32" t="s">
        <v>77</v>
      </c>
      <c r="O113" s="32"/>
      <c r="P113" s="35"/>
      <c r="R113" s="2"/>
      <c r="S113" s="2"/>
      <c r="T113" s="2"/>
      <c r="U113" s="2"/>
      <c r="V113" s="2"/>
      <c r="W113" s="2"/>
      <c r="AA113" s="2"/>
      <c r="AB113" s="2"/>
      <c r="AC113" s="2"/>
      <c r="AD113" s="2"/>
      <c r="AE113" s="2"/>
      <c r="AF113" s="2"/>
    </row>
    <row r="114" spans="1:32" x14ac:dyDescent="0.45">
      <c r="B114" s="31"/>
      <c r="C114" s="32"/>
      <c r="D114" s="32"/>
      <c r="E114" s="33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5"/>
      <c r="R114" s="2"/>
      <c r="S114" s="2"/>
      <c r="T114" s="2"/>
      <c r="U114" s="2"/>
      <c r="V114" s="2"/>
      <c r="W114" s="2"/>
      <c r="AA114" s="2"/>
      <c r="AB114" s="2"/>
      <c r="AC114" s="2"/>
      <c r="AD114" s="2"/>
      <c r="AE114" s="2"/>
      <c r="AF114" s="2"/>
    </row>
    <row r="115" spans="1:32" x14ac:dyDescent="0.45">
      <c r="B115" s="31"/>
      <c r="C115" s="32"/>
      <c r="D115" s="32"/>
      <c r="E115" s="33"/>
      <c r="F115" s="32"/>
      <c r="G115" s="38" t="s">
        <v>49</v>
      </c>
      <c r="H115" s="32"/>
      <c r="I115" s="39">
        <f>SUM(I93:I108)+I110+I111</f>
        <v>118.95150283024446</v>
      </c>
      <c r="J115" s="40">
        <f>N115/I115</f>
        <v>1.8020806517058274</v>
      </c>
      <c r="K115" s="32"/>
      <c r="L115" s="41">
        <f>O115/I115</f>
        <v>7.5236036568064959</v>
      </c>
      <c r="M115" s="32"/>
      <c r="N115" s="33">
        <f>SUM(N93:N108)</f>
        <v>214.36020174171452</v>
      </c>
      <c r="O115" s="33">
        <f>SUM(O93:O108)</f>
        <v>894.94396167625553</v>
      </c>
      <c r="P115" s="35"/>
      <c r="R115" s="2"/>
      <c r="S115" s="2"/>
      <c r="T115" s="2"/>
      <c r="U115" s="2"/>
      <c r="V115" s="2"/>
      <c r="W115" s="2"/>
      <c r="AA115" s="2"/>
      <c r="AB115" s="2"/>
      <c r="AC115" s="2"/>
      <c r="AD115" s="2"/>
      <c r="AE115" s="2"/>
      <c r="AF115" s="2"/>
    </row>
    <row r="116" spans="1:32" x14ac:dyDescent="0.45">
      <c r="B116" s="31"/>
      <c r="C116" s="32"/>
      <c r="D116" s="32"/>
      <c r="E116" s="32"/>
      <c r="F116" s="32"/>
      <c r="G116" s="38" t="s">
        <v>220</v>
      </c>
      <c r="H116" s="32"/>
      <c r="I116" s="39">
        <f>D55</f>
        <v>173.47894791675697</v>
      </c>
      <c r="J116" s="32"/>
      <c r="K116" s="32"/>
      <c r="L116" s="32"/>
      <c r="M116" s="32"/>
      <c r="N116" s="32"/>
      <c r="O116" s="32"/>
      <c r="P116" s="35"/>
      <c r="R116" s="2"/>
      <c r="S116" s="2"/>
      <c r="T116" s="2"/>
      <c r="U116" s="2"/>
      <c r="V116" s="2"/>
      <c r="W116" s="2"/>
      <c r="AA116" s="2"/>
      <c r="AB116" s="2"/>
      <c r="AC116" s="2"/>
      <c r="AD116" s="2"/>
      <c r="AE116" s="2"/>
      <c r="AF116" s="2"/>
    </row>
    <row r="117" spans="1:32" x14ac:dyDescent="0.45">
      <c r="B117" s="31"/>
      <c r="C117" s="32"/>
      <c r="D117" s="32"/>
      <c r="E117" s="32"/>
      <c r="F117" s="32"/>
      <c r="G117" s="38" t="s">
        <v>74</v>
      </c>
      <c r="H117" s="32"/>
      <c r="I117" s="32"/>
      <c r="J117" s="38">
        <f>D23+D25</f>
        <v>1.9</v>
      </c>
      <c r="K117" s="32"/>
      <c r="L117" s="32"/>
      <c r="M117" s="32"/>
      <c r="N117" s="32"/>
      <c r="O117" s="32"/>
      <c r="P117" s="35"/>
    </row>
    <row r="118" spans="1:32" ht="19" thickBot="1" x14ac:dyDescent="0.5">
      <c r="B118" s="42"/>
      <c r="C118" s="43"/>
      <c r="D118" s="43"/>
      <c r="E118" s="43"/>
      <c r="F118" s="43"/>
      <c r="G118" s="44" t="s">
        <v>75</v>
      </c>
      <c r="H118" s="43"/>
      <c r="I118" s="43"/>
      <c r="J118" s="43"/>
      <c r="K118" s="43"/>
      <c r="L118" s="44">
        <f>D26/2</f>
        <v>7.6950000000000003</v>
      </c>
      <c r="M118" s="43"/>
      <c r="N118" s="43"/>
      <c r="O118" s="43"/>
      <c r="P118" s="45"/>
    </row>
    <row r="119" spans="1:32" x14ac:dyDescent="0.45">
      <c r="D119" s="11"/>
    </row>
    <row r="120" spans="1:32" x14ac:dyDescent="0.45">
      <c r="H120" s="3"/>
      <c r="M120" s="1" t="s">
        <v>178</v>
      </c>
      <c r="N120" s="1" t="s">
        <v>179</v>
      </c>
    </row>
    <row r="121" spans="1:32" x14ac:dyDescent="0.45">
      <c r="E121" s="1" t="s">
        <v>78</v>
      </c>
      <c r="H121" s="46">
        <f>ATAN((D26/2-L115)/(J117-J115))*180/PI()</f>
        <v>60.26051668392018</v>
      </c>
      <c r="I121" s="47" t="s">
        <v>47</v>
      </c>
      <c r="M121" s="21">
        <f>D26/2</f>
        <v>7.6950000000000003</v>
      </c>
      <c r="N121" s="21">
        <f>L115</f>
        <v>7.5236036568064959</v>
      </c>
    </row>
    <row r="122" spans="1:32" x14ac:dyDescent="0.45">
      <c r="L122" s="1" t="s">
        <v>180</v>
      </c>
      <c r="M122" s="21">
        <f>J117</f>
        <v>1.9</v>
      </c>
      <c r="N122" s="21">
        <f>J115</f>
        <v>1.8020806517058274</v>
      </c>
    </row>
    <row r="123" spans="1:32" x14ac:dyDescent="0.45">
      <c r="L123" s="3"/>
      <c r="M123" s="1" t="s">
        <v>181</v>
      </c>
      <c r="N123" s="3">
        <f>M122-N122</f>
        <v>9.7919348294172481E-2</v>
      </c>
    </row>
    <row r="124" spans="1:32" x14ac:dyDescent="0.45">
      <c r="M124" s="1" t="s">
        <v>182</v>
      </c>
      <c r="N124" s="3">
        <f>N121-M121</f>
        <v>-0.17139634319350439</v>
      </c>
    </row>
    <row r="125" spans="1:32" x14ac:dyDescent="0.45">
      <c r="A125" s="48">
        <v>11</v>
      </c>
      <c r="B125" s="24" t="s">
        <v>80</v>
      </c>
    </row>
    <row r="126" spans="1:32" x14ac:dyDescent="0.45">
      <c r="L126" s="1" t="s">
        <v>194</v>
      </c>
      <c r="N126" s="2">
        <f>ATAN(N124/N123)*180/PI()</f>
        <v>-60.26051668392018</v>
      </c>
      <c r="O126" s="1" t="s">
        <v>47</v>
      </c>
    </row>
    <row r="127" spans="1:32" x14ac:dyDescent="0.45">
      <c r="B127" s="1" t="s">
        <v>34</v>
      </c>
      <c r="E127" s="1" t="s">
        <v>193</v>
      </c>
      <c r="F127" s="25">
        <v>95</v>
      </c>
      <c r="G127" s="4">
        <f>F127/100*2*D23</f>
        <v>2.8499999999999996</v>
      </c>
      <c r="H127" s="1" t="s">
        <v>0</v>
      </c>
    </row>
    <row r="129" spans="1:15" x14ac:dyDescent="0.45">
      <c r="B129" s="6" t="s">
        <v>46</v>
      </c>
      <c r="G129" s="5">
        <f>MAX(0,SIGN(2*D23-G127))*D21+2*SQRT(MAX(0, D23^2-(D23-G127)^2))</f>
        <v>13.697669683062204</v>
      </c>
      <c r="H129" s="1" t="s">
        <v>0</v>
      </c>
    </row>
    <row r="130" spans="1:15" x14ac:dyDescent="0.45">
      <c r="B130" s="1" t="s">
        <v>37</v>
      </c>
      <c r="G130" s="5">
        <f>2*SQRT(MAX(0,D23^2-(D23-G127)^2))</f>
        <v>1.3076696830622034</v>
      </c>
      <c r="H130" s="1" t="s">
        <v>0</v>
      </c>
    </row>
    <row r="131" spans="1:15" x14ac:dyDescent="0.45">
      <c r="B131" s="1" t="s">
        <v>38</v>
      </c>
      <c r="G131" s="3">
        <f>(D23^2*(PI()-ACOS(MIN(1, (G127-D23)/D23)))+(G127-D23)*G130/2)*D21</f>
        <v>85.942617731469113</v>
      </c>
      <c r="H131" s="1" t="s">
        <v>12</v>
      </c>
    </row>
    <row r="132" spans="1:15" x14ac:dyDescent="0.45">
      <c r="B132" s="1" t="s">
        <v>39</v>
      </c>
      <c r="G132" s="3">
        <f>PI()/3*(4*D23^3-MAX(0, 2*D23-G127)^2*(D23+G127))</f>
        <v>14.0346724808307</v>
      </c>
      <c r="H132" s="1" t="s">
        <v>12</v>
      </c>
    </row>
    <row r="133" spans="1:15" x14ac:dyDescent="0.45">
      <c r="B133" s="1" t="s">
        <v>50</v>
      </c>
      <c r="G133" s="3">
        <f>G131+G132</f>
        <v>99.977290212299806</v>
      </c>
      <c r="H133" s="1" t="s">
        <v>12</v>
      </c>
    </row>
    <row r="134" spans="1:15" x14ac:dyDescent="0.45">
      <c r="B134" s="1" t="s">
        <v>35</v>
      </c>
      <c r="G134" s="3">
        <f>G135+G136-J115</f>
        <v>2.1753832489667273</v>
      </c>
      <c r="H134" s="1" t="s">
        <v>0</v>
      </c>
    </row>
    <row r="135" spans="1:15" x14ac:dyDescent="0.45">
      <c r="B135" s="1" t="s">
        <v>36</v>
      </c>
      <c r="G135" s="3">
        <f>G129*G130^3/12</f>
        <v>2.5524639006725551</v>
      </c>
      <c r="H135" s="1" t="s">
        <v>0</v>
      </c>
    </row>
    <row r="136" spans="1:15" x14ac:dyDescent="0.45">
      <c r="B136" s="1" t="s">
        <v>79</v>
      </c>
      <c r="G136" s="1">
        <f>G127/2</f>
        <v>1.4249999999999998</v>
      </c>
      <c r="H136" s="1" t="s">
        <v>0</v>
      </c>
    </row>
    <row r="137" spans="1:15" x14ac:dyDescent="0.45">
      <c r="J137" s="1" t="s">
        <v>195</v>
      </c>
    </row>
    <row r="138" spans="1:15" x14ac:dyDescent="0.45">
      <c r="L138" s="22">
        <v>5</v>
      </c>
      <c r="M138" s="1">
        <v>10</v>
      </c>
      <c r="N138" s="1">
        <v>30</v>
      </c>
      <c r="O138" s="1">
        <v>50</v>
      </c>
    </row>
    <row r="139" spans="1:15" x14ac:dyDescent="0.45">
      <c r="A139" s="48">
        <v>12</v>
      </c>
      <c r="B139" s="12" t="s">
        <v>73</v>
      </c>
      <c r="I139" s="1" t="s">
        <v>160</v>
      </c>
      <c r="J139" s="14">
        <v>94.458960845197964</v>
      </c>
      <c r="K139" s="14"/>
      <c r="L139" s="14">
        <v>93.579673607296726</v>
      </c>
      <c r="M139" s="14">
        <v>85.393174062380226</v>
      </c>
      <c r="N139" s="14">
        <v>53.744405434055828</v>
      </c>
      <c r="O139" s="14">
        <v>28.682944670571846</v>
      </c>
    </row>
    <row r="140" spans="1:15" x14ac:dyDescent="0.45">
      <c r="I140" s="1" t="s">
        <v>159</v>
      </c>
      <c r="J140" s="14">
        <v>79.619001484299844</v>
      </c>
      <c r="K140" s="14"/>
      <c r="L140" s="14">
        <v>79.264684166386289</v>
      </c>
      <c r="M140" s="14">
        <v>81.223778330445938</v>
      </c>
      <c r="N140" s="14">
        <v>88.797265123358287</v>
      </c>
      <c r="O140" s="14">
        <v>94.794422369265192</v>
      </c>
    </row>
    <row r="141" spans="1:15" x14ac:dyDescent="0.45">
      <c r="B141" s="12" t="s">
        <v>45</v>
      </c>
      <c r="G141" s="1" t="s">
        <v>92</v>
      </c>
      <c r="I141" s="1" t="s">
        <v>158</v>
      </c>
      <c r="J141" s="14">
        <v>100</v>
      </c>
      <c r="K141" s="14"/>
      <c r="L141" s="14">
        <v>100</v>
      </c>
      <c r="M141" s="14">
        <v>100</v>
      </c>
      <c r="N141" s="14">
        <v>100</v>
      </c>
      <c r="O141" s="14">
        <v>100</v>
      </c>
    </row>
    <row r="142" spans="1:15" x14ac:dyDescent="0.45">
      <c r="B142" s="1" t="s">
        <v>147</v>
      </c>
      <c r="C142" s="1" t="s">
        <v>43</v>
      </c>
      <c r="D142" s="2">
        <v>0.41170000000000001</v>
      </c>
      <c r="E142" s="50">
        <f>2.5+D9*0.8</f>
        <v>4.0999999999999996</v>
      </c>
      <c r="F142" s="1" t="s">
        <v>0</v>
      </c>
      <c r="G142" s="1">
        <v>4.0999999999999996</v>
      </c>
      <c r="H142" s="1" t="s">
        <v>0</v>
      </c>
      <c r="I142" s="1" t="s">
        <v>42</v>
      </c>
      <c r="J142" s="14">
        <v>100</v>
      </c>
      <c r="K142" s="14"/>
      <c r="L142" s="14">
        <v>100</v>
      </c>
      <c r="M142" s="14">
        <v>100</v>
      </c>
      <c r="N142" s="14">
        <v>100</v>
      </c>
      <c r="O142" s="14">
        <v>100</v>
      </c>
    </row>
    <row r="143" spans="1:15" x14ac:dyDescent="0.45">
      <c r="B143" s="1" t="s">
        <v>148</v>
      </c>
      <c r="C143" s="1" t="s">
        <v>43</v>
      </c>
      <c r="D143" s="2">
        <v>0.22</v>
      </c>
      <c r="E143" s="2">
        <v>1.5</v>
      </c>
      <c r="F143" s="1" t="s">
        <v>0</v>
      </c>
      <c r="I143" s="1" t="s">
        <v>41</v>
      </c>
      <c r="J143" s="14">
        <v>99.309918018647707</v>
      </c>
      <c r="K143" s="14"/>
      <c r="L143" s="14">
        <v>100.00009930991801</v>
      </c>
      <c r="M143" s="14">
        <v>100</v>
      </c>
      <c r="N143" s="14">
        <v>100</v>
      </c>
      <c r="O143" s="14">
        <v>100</v>
      </c>
    </row>
    <row r="144" spans="1:15" x14ac:dyDescent="0.45">
      <c r="B144" s="1" t="s">
        <v>149</v>
      </c>
      <c r="C144" s="1" t="s">
        <v>43</v>
      </c>
      <c r="D144" s="2">
        <v>0.22</v>
      </c>
      <c r="E144" s="18">
        <f>D166</f>
        <v>0.75198347400130106</v>
      </c>
      <c r="F144" s="1" t="s">
        <v>0</v>
      </c>
    </row>
    <row r="145" spans="1:15" x14ac:dyDescent="0.45">
      <c r="B145" s="1" t="s">
        <v>139</v>
      </c>
      <c r="C145" s="1" t="s">
        <v>43</v>
      </c>
      <c r="D145" s="2">
        <v>0.22</v>
      </c>
      <c r="E145" s="18">
        <f>(15.385*E82+3692.3)/1000</f>
        <v>5.0531692931480947</v>
      </c>
      <c r="F145" s="1" t="s">
        <v>0</v>
      </c>
      <c r="J145" s="1">
        <v>-1</v>
      </c>
      <c r="L145" s="22">
        <v>-5</v>
      </c>
      <c r="M145" s="1">
        <v>-10</v>
      </c>
      <c r="N145" s="1">
        <v>-30</v>
      </c>
      <c r="O145" s="1">
        <v>-50</v>
      </c>
    </row>
    <row r="146" spans="1:15" x14ac:dyDescent="0.45">
      <c r="B146" s="1" t="s">
        <v>150</v>
      </c>
      <c r="C146" s="1" t="s">
        <v>43</v>
      </c>
      <c r="D146" s="2">
        <v>0.22</v>
      </c>
      <c r="E146" s="2">
        <v>1</v>
      </c>
      <c r="F146" s="1" t="s">
        <v>0</v>
      </c>
      <c r="I146" s="1" t="s">
        <v>160</v>
      </c>
      <c r="J146" s="14">
        <v>36.085473002271172</v>
      </c>
      <c r="K146" s="14"/>
      <c r="L146" s="14">
        <v>37.581753485663079</v>
      </c>
      <c r="M146" s="14">
        <v>39.56494460269468</v>
      </c>
      <c r="N146" s="14">
        <v>49.642594105236398</v>
      </c>
      <c r="O146" s="14">
        <v>67.34340040956603</v>
      </c>
    </row>
    <row r="147" spans="1:15" x14ac:dyDescent="0.45">
      <c r="B147" s="1" t="s">
        <v>231</v>
      </c>
      <c r="D147" s="2"/>
      <c r="E147" s="1">
        <v>0</v>
      </c>
      <c r="I147" s="1" t="s">
        <v>159</v>
      </c>
      <c r="J147" s="14">
        <v>100</v>
      </c>
      <c r="K147" s="14"/>
      <c r="L147" s="14">
        <v>100</v>
      </c>
      <c r="M147" s="14">
        <v>100</v>
      </c>
      <c r="N147" s="14">
        <v>100</v>
      </c>
      <c r="O147" s="14">
        <v>100</v>
      </c>
    </row>
    <row r="148" spans="1:15" x14ac:dyDescent="0.45">
      <c r="B148" s="1" t="s">
        <v>233</v>
      </c>
      <c r="D148" s="2"/>
      <c r="E148" s="22">
        <v>0</v>
      </c>
      <c r="I148" s="1" t="s">
        <v>158</v>
      </c>
      <c r="J148" s="14">
        <v>100</v>
      </c>
      <c r="K148" s="14"/>
      <c r="L148" s="14">
        <v>100</v>
      </c>
      <c r="M148" s="14">
        <v>100</v>
      </c>
      <c r="N148" s="14">
        <v>100</v>
      </c>
      <c r="O148" s="14">
        <v>100</v>
      </c>
    </row>
    <row r="149" spans="1:15" x14ac:dyDescent="0.45">
      <c r="D149" s="2"/>
      <c r="E149" s="2">
        <f>SUM(E142:E148)</f>
        <v>12.405152767149396</v>
      </c>
      <c r="I149" s="1" t="s">
        <v>42</v>
      </c>
      <c r="J149" s="14">
        <v>100</v>
      </c>
      <c r="K149" s="14"/>
      <c r="L149" s="14">
        <v>100</v>
      </c>
      <c r="M149" s="14">
        <v>100</v>
      </c>
      <c r="N149" s="14">
        <v>100</v>
      </c>
      <c r="O149" s="14">
        <v>100</v>
      </c>
    </row>
    <row r="150" spans="1:15" x14ac:dyDescent="0.45">
      <c r="E150" s="2"/>
      <c r="I150" s="1" t="s">
        <v>41</v>
      </c>
      <c r="J150" s="14">
        <v>91.473102063060566</v>
      </c>
      <c r="K150" s="14"/>
      <c r="L150" s="14">
        <v>91.035504225212136</v>
      </c>
      <c r="M150" s="14">
        <v>90.455505919756675</v>
      </c>
      <c r="N150" s="14">
        <v>87.508225859731681</v>
      </c>
      <c r="O150" s="14">
        <v>82.331499535408255</v>
      </c>
    </row>
    <row r="152" spans="1:15" x14ac:dyDescent="0.45">
      <c r="A152" s="48">
        <v>13</v>
      </c>
      <c r="B152" s="24" t="s">
        <v>99</v>
      </c>
      <c r="E152" s="2"/>
    </row>
    <row r="153" spans="1:15" x14ac:dyDescent="0.45">
      <c r="B153" s="1" t="s">
        <v>100</v>
      </c>
      <c r="E153" s="2"/>
      <c r="H153" s="1" t="s">
        <v>144</v>
      </c>
      <c r="I153" s="1" t="s">
        <v>145</v>
      </c>
    </row>
    <row r="154" spans="1:15" x14ac:dyDescent="0.45">
      <c r="E154" s="2"/>
      <c r="H154" s="1">
        <v>20</v>
      </c>
      <c r="I154" s="1">
        <v>150</v>
      </c>
    </row>
    <row r="155" spans="1:15" x14ac:dyDescent="0.45">
      <c r="B155" s="1" t="s">
        <v>107</v>
      </c>
      <c r="E155" s="2"/>
      <c r="F155" s="1" t="s">
        <v>140</v>
      </c>
      <c r="G155" s="1">
        <v>1950</v>
      </c>
      <c r="H155" s="1">
        <v>4000</v>
      </c>
      <c r="I155" s="1">
        <v>6000</v>
      </c>
    </row>
    <row r="156" spans="1:15" x14ac:dyDescent="0.45">
      <c r="B156" s="1" t="s">
        <v>109</v>
      </c>
      <c r="C156" s="16">
        <f>D10</f>
        <v>24</v>
      </c>
      <c r="D156" s="1" t="s">
        <v>108</v>
      </c>
      <c r="E156" s="2"/>
      <c r="F156" s="1" t="s">
        <v>141</v>
      </c>
      <c r="G156" s="1">
        <v>1435</v>
      </c>
      <c r="H156" s="1">
        <f>G156</f>
        <v>1435</v>
      </c>
      <c r="I156" s="1">
        <f>H156</f>
        <v>1435</v>
      </c>
    </row>
    <row r="157" spans="1:15" x14ac:dyDescent="0.45">
      <c r="B157" s="1" t="s">
        <v>110</v>
      </c>
      <c r="C157" s="16">
        <f t="shared" ref="C157:C158" si="3">D11</f>
        <v>500</v>
      </c>
      <c r="D157" s="1" t="s">
        <v>111</v>
      </c>
      <c r="E157" s="2"/>
      <c r="F157" s="1" t="s">
        <v>142</v>
      </c>
      <c r="G157" s="1">
        <v>2340</v>
      </c>
      <c r="H157" s="1">
        <f>G157</f>
        <v>2340</v>
      </c>
      <c r="I157" s="1">
        <f>H157</f>
        <v>2340</v>
      </c>
    </row>
    <row r="158" spans="1:15" x14ac:dyDescent="0.45">
      <c r="B158" s="1" t="s">
        <v>172</v>
      </c>
      <c r="C158" s="16">
        <f t="shared" si="3"/>
        <v>2</v>
      </c>
      <c r="D158" s="1" t="s">
        <v>108</v>
      </c>
      <c r="E158" s="2"/>
      <c r="F158" s="1" t="s">
        <v>143</v>
      </c>
      <c r="G158" s="2">
        <f>G155*G156*G157/1000000000</f>
        <v>6.5479050000000001</v>
      </c>
      <c r="H158" s="2">
        <f>H155*H156*H157/1000000000</f>
        <v>13.4316</v>
      </c>
      <c r="I158" s="2">
        <f>I155*I156*I157/1000000000</f>
        <v>20.147400000000001</v>
      </c>
    </row>
    <row r="159" spans="1:15" x14ac:dyDescent="0.45">
      <c r="E159" s="2"/>
      <c r="F159" s="1" t="s">
        <v>146</v>
      </c>
      <c r="G159" s="2"/>
    </row>
    <row r="160" spans="1:15" x14ac:dyDescent="0.45">
      <c r="E160" s="2"/>
      <c r="G160" s="2"/>
    </row>
    <row r="161" spans="1:8" x14ac:dyDescent="0.45">
      <c r="E161" s="2"/>
    </row>
    <row r="162" spans="1:8" x14ac:dyDescent="0.45">
      <c r="A162" s="48">
        <v>14</v>
      </c>
      <c r="B162" s="24" t="s">
        <v>101</v>
      </c>
      <c r="E162" s="1" t="s">
        <v>106</v>
      </c>
      <c r="F162" s="2" t="s">
        <v>112</v>
      </c>
      <c r="G162" s="1" t="s">
        <v>136</v>
      </c>
      <c r="H162" s="2">
        <f>E82</f>
        <v>88.454292697308716</v>
      </c>
    </row>
    <row r="163" spans="1:8" x14ac:dyDescent="0.45">
      <c r="B163" s="1" t="s">
        <v>102</v>
      </c>
      <c r="C163" s="1">
        <v>0.8</v>
      </c>
      <c r="D163" s="1" t="s">
        <v>103</v>
      </c>
      <c r="E163" s="2">
        <v>789</v>
      </c>
      <c r="F163" s="3">
        <f>C163*C156*$H$162/1000</f>
        <v>1.6983224197883275</v>
      </c>
      <c r="G163" s="3">
        <f>F163/(E163/1000)</f>
        <v>2.1524998983375507</v>
      </c>
    </row>
    <row r="164" spans="1:8" x14ac:dyDescent="0.45">
      <c r="B164" s="1" t="s">
        <v>104</v>
      </c>
      <c r="C164" s="1">
        <v>1.7</v>
      </c>
      <c r="D164" s="1" t="s">
        <v>103</v>
      </c>
      <c r="E164" s="2">
        <v>1141</v>
      </c>
      <c r="F164" s="3">
        <f>C164*C156*$H$162/1000</f>
        <v>3.6089351420501954</v>
      </c>
      <c r="G164" s="3">
        <f>F164/(E164/1000)</f>
        <v>3.1629580561351407</v>
      </c>
    </row>
    <row r="165" spans="1:8" x14ac:dyDescent="0.45">
      <c r="E165" s="2" t="s">
        <v>137</v>
      </c>
      <c r="F165" s="3">
        <f>F163+F164</f>
        <v>5.3072575618385232</v>
      </c>
      <c r="G165" s="3">
        <f>G163+G164</f>
        <v>5.3154579544726914</v>
      </c>
    </row>
    <row r="166" spans="1:8" x14ac:dyDescent="0.45">
      <c r="B166" s="1" t="s">
        <v>138</v>
      </c>
      <c r="D166" s="3">
        <f>G165/(D23^2*PI())</f>
        <v>0.75198347400130106</v>
      </c>
      <c r="E166" s="2"/>
    </row>
    <row r="167" spans="1:8" x14ac:dyDescent="0.45">
      <c r="E167" s="2"/>
    </row>
    <row r="168" spans="1:8" x14ac:dyDescent="0.45">
      <c r="E168" s="2"/>
    </row>
    <row r="169" spans="1:8" x14ac:dyDescent="0.45">
      <c r="A169" s="48">
        <v>15</v>
      </c>
      <c r="B169" s="24" t="s">
        <v>86</v>
      </c>
    </row>
    <row r="170" spans="1:8" x14ac:dyDescent="0.45">
      <c r="B170" s="1" t="s">
        <v>89</v>
      </c>
    </row>
    <row r="171" spans="1:8" x14ac:dyDescent="0.45">
      <c r="B171" s="1" t="s">
        <v>105</v>
      </c>
      <c r="E171" s="1">
        <f>15/150</f>
        <v>0.1</v>
      </c>
      <c r="F171" s="1" t="s">
        <v>87</v>
      </c>
    </row>
    <row r="174" spans="1:8" s="23" customFormat="1" x14ac:dyDescent="0.45">
      <c r="A174" s="49"/>
      <c r="B174" s="23" t="s">
        <v>183</v>
      </c>
      <c r="E174" s="23">
        <v>0.4</v>
      </c>
      <c r="F174" s="23" t="s">
        <v>88</v>
      </c>
    </row>
    <row r="178" spans="1:7" x14ac:dyDescent="0.45">
      <c r="A178" s="48">
        <v>16</v>
      </c>
      <c r="B178" s="12" t="s">
        <v>157</v>
      </c>
    </row>
    <row r="179" spans="1:7" x14ac:dyDescent="0.45">
      <c r="B179" s="1" t="s">
        <v>81</v>
      </c>
      <c r="E179" s="1">
        <v>0</v>
      </c>
      <c r="F179" s="1" t="s">
        <v>47</v>
      </c>
    </row>
    <row r="180" spans="1:7" x14ac:dyDescent="0.45">
      <c r="B180" s="1" t="s">
        <v>82</v>
      </c>
      <c r="E180" s="1">
        <v>0</v>
      </c>
      <c r="F180" s="1" t="s">
        <v>47</v>
      </c>
    </row>
    <row r="181" spans="1:7" x14ac:dyDescent="0.45">
      <c r="B181" s="1" t="s">
        <v>230</v>
      </c>
      <c r="E181" s="47">
        <f>D24</f>
        <v>1.9</v>
      </c>
      <c r="F181" s="1" t="s">
        <v>0</v>
      </c>
    </row>
    <row r="182" spans="1:7" x14ac:dyDescent="0.45">
      <c r="B182" s="1" t="s">
        <v>84</v>
      </c>
      <c r="C182" s="1" t="s">
        <v>55</v>
      </c>
      <c r="E182" s="3">
        <f>D23+E142/2</f>
        <v>3.55</v>
      </c>
      <c r="F182" s="1" t="s">
        <v>0</v>
      </c>
    </row>
    <row r="183" spans="1:7" x14ac:dyDescent="0.45">
      <c r="B183" s="17" t="s">
        <v>134</v>
      </c>
      <c r="C183" s="1" t="s">
        <v>54</v>
      </c>
      <c r="E183" s="2">
        <f>D23^2*PI()*E142</f>
        <v>28.981192229365838</v>
      </c>
      <c r="F183" s="1" t="s">
        <v>12</v>
      </c>
    </row>
    <row r="184" spans="1:7" x14ac:dyDescent="0.45">
      <c r="B184" s="17" t="s">
        <v>135</v>
      </c>
      <c r="C184" s="8" t="s">
        <v>53</v>
      </c>
      <c r="E184" s="2">
        <f>PI()*(360-E179-E180)/360*-(D23^2-E181^2)*E142</f>
        <v>17.517520636416684</v>
      </c>
      <c r="F184" s="1" t="s">
        <v>12</v>
      </c>
      <c r="G184" s="1">
        <f>(D24^2-D23^2)*PI()*E142</f>
        <v>17.517520636416684</v>
      </c>
    </row>
    <row r="185" spans="1:7" x14ac:dyDescent="0.45">
      <c r="B185" s="17"/>
      <c r="C185" s="7"/>
      <c r="E185" s="2"/>
    </row>
    <row r="187" spans="1:7" x14ac:dyDescent="0.45">
      <c r="B187" s="12" t="s">
        <v>156</v>
      </c>
    </row>
    <row r="188" spans="1:7" x14ac:dyDescent="0.45">
      <c r="B188" s="1" t="s">
        <v>40</v>
      </c>
      <c r="E188" s="1">
        <v>30</v>
      </c>
      <c r="F188" s="1" t="s">
        <v>47</v>
      </c>
    </row>
    <row r="189" spans="1:7" x14ac:dyDescent="0.45">
      <c r="B189" s="1" t="s">
        <v>44</v>
      </c>
      <c r="E189" s="1">
        <v>30</v>
      </c>
      <c r="F189" s="1" t="s">
        <v>47</v>
      </c>
    </row>
    <row r="190" spans="1:7" x14ac:dyDescent="0.45">
      <c r="B190" s="1" t="s">
        <v>83</v>
      </c>
      <c r="E190" s="1">
        <v>1.4</v>
      </c>
    </row>
    <row r="191" spans="1:7" x14ac:dyDescent="0.45">
      <c r="B191" s="1" t="s">
        <v>223</v>
      </c>
      <c r="E191" s="47">
        <f>D24</f>
        <v>1.9</v>
      </c>
      <c r="F191" s="1" t="s">
        <v>0</v>
      </c>
    </row>
    <row r="192" spans="1:7" x14ac:dyDescent="0.45">
      <c r="B192" s="1" t="s">
        <v>56</v>
      </c>
      <c r="C192" s="1" t="s">
        <v>57</v>
      </c>
      <c r="E192" s="3">
        <f>D23+E142+E143/2</f>
        <v>6.35</v>
      </c>
      <c r="F192" s="1" t="s">
        <v>0</v>
      </c>
    </row>
    <row r="193" spans="2:6" x14ac:dyDescent="0.45">
      <c r="B193" s="17" t="s">
        <v>93</v>
      </c>
      <c r="C193" s="1" t="s">
        <v>58</v>
      </c>
      <c r="E193" s="2">
        <f>D23^2*PI()*E143</f>
        <v>10.602875205865551</v>
      </c>
      <c r="F193" s="1" t="s">
        <v>12</v>
      </c>
    </row>
    <row r="194" spans="2:6" x14ac:dyDescent="0.45">
      <c r="B194" s="17" t="s">
        <v>94</v>
      </c>
      <c r="C194" s="8" t="s">
        <v>59</v>
      </c>
      <c r="E194" s="2">
        <f>PI()*(360-E188-E189)/360*-(D23^2-E191^2)*E143</f>
        <v>5.3407075111026483</v>
      </c>
      <c r="F194" s="1" t="s">
        <v>12</v>
      </c>
    </row>
    <row r="195" spans="2:6" x14ac:dyDescent="0.45">
      <c r="B195" s="17"/>
      <c r="C195" s="7"/>
      <c r="E195" s="2"/>
    </row>
    <row r="197" spans="2:6" x14ac:dyDescent="0.45">
      <c r="B197" s="12" t="s">
        <v>113</v>
      </c>
    </row>
    <row r="198" spans="2:6" x14ac:dyDescent="0.45">
      <c r="B198" s="1" t="s">
        <v>114</v>
      </c>
      <c r="E198" s="1">
        <v>0</v>
      </c>
      <c r="F198" s="1" t="s">
        <v>47</v>
      </c>
    </row>
    <row r="199" spans="2:6" x14ac:dyDescent="0.45">
      <c r="B199" s="1" t="s">
        <v>115</v>
      </c>
      <c r="E199" s="1">
        <v>0</v>
      </c>
      <c r="F199" s="1" t="s">
        <v>47</v>
      </c>
    </row>
    <row r="200" spans="2:6" x14ac:dyDescent="0.45">
      <c r="B200" s="1" t="s">
        <v>224</v>
      </c>
      <c r="E200" s="47">
        <f>D24</f>
        <v>1.9</v>
      </c>
      <c r="F200" s="1" t="s">
        <v>0</v>
      </c>
    </row>
    <row r="201" spans="2:6" x14ac:dyDescent="0.45">
      <c r="B201" s="1" t="s">
        <v>116</v>
      </c>
      <c r="C201" s="1" t="s">
        <v>95</v>
      </c>
      <c r="E201" s="3">
        <f>D23+E142+E143+E144/2</f>
        <v>7.4759917370006503</v>
      </c>
      <c r="F201" s="1" t="s">
        <v>0</v>
      </c>
    </row>
    <row r="202" spans="2:6" x14ac:dyDescent="0.45">
      <c r="B202" s="17" t="s">
        <v>124</v>
      </c>
      <c r="C202" s="1" t="s">
        <v>97</v>
      </c>
      <c r="E202" s="2">
        <f>D23^2*PI()*E144</f>
        <v>5.3154579544726914</v>
      </c>
      <c r="F202" s="1" t="s">
        <v>12</v>
      </c>
    </row>
    <row r="203" spans="2:6" x14ac:dyDescent="0.45">
      <c r="B203" s="17" t="s">
        <v>125</v>
      </c>
      <c r="C203" s="8" t="s">
        <v>131</v>
      </c>
      <c r="E203" s="2">
        <f>PI()*(360-E198-E199)/360*-(D23^2-E200^2)*E144</f>
        <v>3.2128990302590492</v>
      </c>
      <c r="F203" s="1" t="s">
        <v>12</v>
      </c>
    </row>
    <row r="204" spans="2:6" x14ac:dyDescent="0.45">
      <c r="B204" s="17"/>
      <c r="C204" s="7"/>
      <c r="E204" s="2"/>
    </row>
    <row r="206" spans="2:6" x14ac:dyDescent="0.45">
      <c r="B206" s="12" t="s">
        <v>117</v>
      </c>
    </row>
    <row r="207" spans="2:6" x14ac:dyDescent="0.45">
      <c r="B207" s="1" t="s">
        <v>118</v>
      </c>
      <c r="E207" s="1">
        <v>0</v>
      </c>
      <c r="F207" s="1" t="s">
        <v>47</v>
      </c>
    </row>
    <row r="208" spans="2:6" x14ac:dyDescent="0.45">
      <c r="B208" s="1" t="s">
        <v>119</v>
      </c>
      <c r="E208" s="1">
        <v>0</v>
      </c>
      <c r="F208" s="1" t="s">
        <v>47</v>
      </c>
    </row>
    <row r="209" spans="2:6" x14ac:dyDescent="0.45">
      <c r="B209" s="1" t="s">
        <v>225</v>
      </c>
      <c r="E209" s="47">
        <f>D24</f>
        <v>1.9</v>
      </c>
      <c r="F209" s="1" t="s">
        <v>0</v>
      </c>
    </row>
    <row r="210" spans="2:6" x14ac:dyDescent="0.45">
      <c r="B210" s="1" t="s">
        <v>120</v>
      </c>
      <c r="C210" s="1" t="s">
        <v>121</v>
      </c>
      <c r="E210" s="3">
        <f>D23+E142+E143+E144+E145/2</f>
        <v>10.378568120575348</v>
      </c>
      <c r="F210" s="1" t="s">
        <v>0</v>
      </c>
    </row>
    <row r="211" spans="2:6" x14ac:dyDescent="0.45">
      <c r="B211" s="17" t="s">
        <v>122</v>
      </c>
      <c r="C211" s="1" t="s">
        <v>227</v>
      </c>
      <c r="E211" s="2">
        <f>D23^2*PI()*E145</f>
        <v>35.718748939574063</v>
      </c>
      <c r="F211" s="1" t="s">
        <v>12</v>
      </c>
    </row>
    <row r="212" spans="2:6" x14ac:dyDescent="0.45">
      <c r="B212" s="17" t="s">
        <v>123</v>
      </c>
      <c r="C212" s="8" t="s">
        <v>132</v>
      </c>
      <c r="E212" s="2">
        <f>PI()*(360-E207-E208)/360*-(D23^2-E209^2)*E145</f>
        <v>21.589999359031431</v>
      </c>
      <c r="F212" s="1" t="s">
        <v>12</v>
      </c>
    </row>
    <row r="213" spans="2:6" x14ac:dyDescent="0.45">
      <c r="B213" s="17"/>
      <c r="C213" s="7"/>
      <c r="E213" s="2"/>
    </row>
    <row r="215" spans="2:6" x14ac:dyDescent="0.45">
      <c r="B215" s="12" t="s">
        <v>126</v>
      </c>
    </row>
    <row r="216" spans="2:6" x14ac:dyDescent="0.45">
      <c r="B216" s="1" t="s">
        <v>154</v>
      </c>
      <c r="E216" s="1">
        <v>0</v>
      </c>
      <c r="F216" s="1" t="s">
        <v>47</v>
      </c>
    </row>
    <row r="217" spans="2:6" x14ac:dyDescent="0.45">
      <c r="B217" s="1" t="s">
        <v>127</v>
      </c>
      <c r="E217" s="1">
        <v>0</v>
      </c>
      <c r="F217" s="1" t="s">
        <v>47</v>
      </c>
    </row>
    <row r="218" spans="2:6" x14ac:dyDescent="0.45">
      <c r="B218" s="1" t="s">
        <v>226</v>
      </c>
      <c r="E218" s="47">
        <f>D24</f>
        <v>1.9</v>
      </c>
      <c r="F218" s="1" t="s">
        <v>0</v>
      </c>
    </row>
    <row r="219" spans="2:6" x14ac:dyDescent="0.45">
      <c r="B219" s="1" t="s">
        <v>128</v>
      </c>
      <c r="C219" s="1" t="s">
        <v>96</v>
      </c>
      <c r="E219" s="3">
        <f>D23+E142+E143+E144+E145+E146/2</f>
        <v>13.405152767149396</v>
      </c>
      <c r="F219" s="1" t="s">
        <v>0</v>
      </c>
    </row>
    <row r="220" spans="2:6" x14ac:dyDescent="0.45">
      <c r="B220" s="17" t="s">
        <v>129</v>
      </c>
      <c r="C220" s="1" t="s">
        <v>98</v>
      </c>
      <c r="E220" s="2">
        <f>D23^2*PI()*E146</f>
        <v>7.0685834705770345</v>
      </c>
      <c r="F220" s="1" t="s">
        <v>12</v>
      </c>
    </row>
    <row r="221" spans="2:6" x14ac:dyDescent="0.45">
      <c r="B221" s="17" t="s">
        <v>130</v>
      </c>
      <c r="C221" s="8" t="s">
        <v>133</v>
      </c>
      <c r="E221" s="2">
        <f>PI()*(360-E216-E217)/360*-(D23^2-E218^2)*E146</f>
        <v>4.2725660088821185</v>
      </c>
      <c r="F221" s="1" t="s">
        <v>12</v>
      </c>
    </row>
    <row r="222" spans="2:6" x14ac:dyDescent="0.45">
      <c r="B222" s="17"/>
      <c r="C222" s="7"/>
      <c r="E222" s="2"/>
    </row>
    <row r="228" spans="2:5" x14ac:dyDescent="0.45">
      <c r="B228" s="12"/>
    </row>
    <row r="229" spans="2:5" x14ac:dyDescent="0.45">
      <c r="E229" s="2"/>
    </row>
    <row r="230" spans="2:5" x14ac:dyDescent="0.45">
      <c r="E230" s="3"/>
    </row>
  </sheetData>
  <scenarios current="0">
    <scenario name="stem1" count="2" user="Windows korisnik" comment="Created by Windows korisnik on 4/4/2019">
      <inputCells r="D107" val="50.0766968954303"/>
      <inputCells r="C70" undone="1" val="60.0823042674936"/>
    </scenario>
  </scenarios>
  <pageMargins left="0.7" right="0.7" top="0.75" bottom="0.75" header="0.3" footer="0.3"/>
  <pageSetup paperSize="9" scale="31" fitToHeight="0" orientation="portrait" r:id="rId1"/>
  <rowBreaks count="1" manualBreakCount="1">
    <brk id="119" min="1" max="15" man="1"/>
  </rowBreaks>
  <colBreaks count="1" manualBreakCount="1">
    <brk id="26" min="2" max="1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Podmornica</vt:lpstr>
      <vt:lpstr>Podmornica!Print_Area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cp:lastPrinted>2019-05-02T22:51:43Z</cp:lastPrinted>
  <dcterms:created xsi:type="dcterms:W3CDTF">2019-03-16T23:26:43Z</dcterms:created>
  <dcterms:modified xsi:type="dcterms:W3CDTF">2019-05-05T19:35:52Z</dcterms:modified>
</cp:coreProperties>
</file>