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othman\Desktop\career and school files\"/>
    </mc:Choice>
  </mc:AlternateContent>
  <bookViews>
    <workbookView xWindow="0" yWindow="0" windowWidth="10940" windowHeight="73" firstSheet="1" activeTab="4"/>
  </bookViews>
  <sheets>
    <sheet name="economic order quantity" sheetId="1" r:id="rId1"/>
    <sheet name="Sheet3" sheetId="3" r:id="rId2"/>
    <sheet name="Optimum Unit Order" sheetId="5" r:id="rId3"/>
    <sheet name="Cost Reduction based on units" sheetId="6" r:id="rId4"/>
    <sheet name="Sheet2" sheetId="2" r:id="rId5"/>
  </sheets>
  <definedNames>
    <definedName name="solver_adj" localSheetId="3" hidden="1">'Cost Reduction based on units'!$F$7:$F$9</definedName>
    <definedName name="solver_adj" localSheetId="2" hidden="1">'Optimum Unit Order'!$B$9:$E$10</definedName>
    <definedName name="solver_adj" localSheetId="1" hidden="1">Sheet3!$A$13:$B$19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drv" localSheetId="3" hidden="1">1</definedName>
    <definedName name="solver_drv" localSheetId="2" hidden="1">1</definedName>
    <definedName name="solver_drv" localSheetId="1" hidden="1">1</definedName>
    <definedName name="solver_eng" localSheetId="3" hidden="1">2</definedName>
    <definedName name="solver_eng" localSheetId="2" hidden="1">2</definedName>
    <definedName name="solver_eng" localSheetId="1" hidden="1">1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itr" localSheetId="3" hidden="1">2147483647</definedName>
    <definedName name="solver_itr" localSheetId="2" hidden="1">2147483647</definedName>
    <definedName name="solver_itr" localSheetId="1" hidden="1">2147483647</definedName>
    <definedName name="solver_lhs1" localSheetId="3" hidden="1">'Cost Reduction based on units'!$D$11</definedName>
    <definedName name="solver_lhs1" localSheetId="2" hidden="1">'Optimum Unit Order'!$B$11:$E$11</definedName>
    <definedName name="solver_lhs1" localSheetId="1" hidden="1">Sheet3!$A$20:$B$20</definedName>
    <definedName name="solver_lhs2" localSheetId="3" hidden="1">'Cost Reduction based on units'!$D$7:$D$9</definedName>
    <definedName name="solver_lhs2" localSheetId="2" hidden="1">'Optimum Unit Order'!$F$9:$F$10</definedName>
    <definedName name="solver_lhs2" localSheetId="1" hidden="1">Sheet3!$D$13:$D$19</definedName>
    <definedName name="solver_lhs3" localSheetId="3" hidden="1">'Cost Reduction based on units'!$F$7:$F$9</definedName>
    <definedName name="solver_lhs3" localSheetId="1" hidden="1">Sheet3!$I$13:$I$14</definedName>
    <definedName name="solver_lhs4" localSheetId="1" hidden="1">Sheet3!$I$15:$I$16</definedName>
    <definedName name="solver_mip" localSheetId="3" hidden="1">2147483647</definedName>
    <definedName name="solver_mip" localSheetId="2" hidden="1">2147483647</definedName>
    <definedName name="solver_mip" localSheetId="1" hidden="1">2147483647</definedName>
    <definedName name="solver_mni" localSheetId="3" hidden="1">30</definedName>
    <definedName name="solver_mni" localSheetId="2" hidden="1">30</definedName>
    <definedName name="solver_mni" localSheetId="1" hidden="1">30</definedName>
    <definedName name="solver_mrt" localSheetId="3" hidden="1">0.075</definedName>
    <definedName name="solver_mrt" localSheetId="2" hidden="1">0.075</definedName>
    <definedName name="solver_mrt" localSheetId="1" hidden="1">0.075</definedName>
    <definedName name="solver_msl" localSheetId="3" hidden="1">2</definedName>
    <definedName name="solver_msl" localSheetId="2" hidden="1">2</definedName>
    <definedName name="solver_msl" localSheetId="1" hidden="1">2</definedName>
    <definedName name="solver_neg" localSheetId="3" hidden="1">1</definedName>
    <definedName name="solver_neg" localSheetId="2" hidden="1">1</definedName>
    <definedName name="solver_neg" localSheetId="1" hidden="1">1</definedName>
    <definedName name="solver_nod" localSheetId="3" hidden="1">2147483647</definedName>
    <definedName name="solver_nod" localSheetId="2" hidden="1">2147483647</definedName>
    <definedName name="solver_nod" localSheetId="1" hidden="1">2147483647</definedName>
    <definedName name="solver_num" localSheetId="3" hidden="1">3</definedName>
    <definedName name="solver_num" localSheetId="2" hidden="1">2</definedName>
    <definedName name="solver_num" localSheetId="1" hidden="1">4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opt" localSheetId="3" hidden="1">'Cost Reduction based on units'!$B$7</definedName>
    <definedName name="solver_opt" localSheetId="2" hidden="1">'Optimum Unit Order'!$G$3</definedName>
    <definedName name="solver_opt" localSheetId="1" hidden="1">Sheet3!$I$4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rbv" localSheetId="3" hidden="1">1</definedName>
    <definedName name="solver_rbv" localSheetId="2" hidden="1">1</definedName>
    <definedName name="solver_rbv" localSheetId="1" hidden="1">1</definedName>
    <definedName name="solver_rel1" localSheetId="3" hidden="1">3</definedName>
    <definedName name="solver_rel1" localSheetId="2" hidden="1">3</definedName>
    <definedName name="solver_rel1" localSheetId="1" hidden="1">1</definedName>
    <definedName name="solver_rel2" localSheetId="3" hidden="1">1</definedName>
    <definedName name="solver_rel2" localSheetId="2" hidden="1">1</definedName>
    <definedName name="solver_rel2" localSheetId="1" hidden="1">3</definedName>
    <definedName name="solver_rel3" localSheetId="3" hidden="1">1</definedName>
    <definedName name="solver_rel3" localSheetId="1" hidden="1">2</definedName>
    <definedName name="solver_rel4" localSheetId="1" hidden="1">2</definedName>
    <definedName name="solver_rhs1" localSheetId="3" hidden="1">'Cost Reduction based on units'!$F$11</definedName>
    <definedName name="solver_rhs1" localSheetId="2" hidden="1">'Optimum Unit Order'!$B$13:$E$13</definedName>
    <definedName name="solver_rhs1" localSheetId="1" hidden="1">Sheet3!$A$22:$B$22</definedName>
    <definedName name="solver_rhs2" localSheetId="3" hidden="1">'Cost Reduction based on units'!$F$7:$F$9</definedName>
    <definedName name="solver_rhs2" localSheetId="2" hidden="1">'Optimum Unit Order'!$H$9:$H$10</definedName>
    <definedName name="solver_rhs2" localSheetId="1" hidden="1">Sheet3!$G$13:$G$19</definedName>
    <definedName name="solver_rhs3" localSheetId="3" hidden="1">'Cost Reduction based on units'!$H$7:$H$9</definedName>
    <definedName name="solver_rhs3" localSheetId="1" hidden="1">Sheet3!$K$13:$K$14</definedName>
    <definedName name="solver_rhs4" localSheetId="1" hidden="1">Sheet3!$K$15:$K$16</definedName>
    <definedName name="solver_rlx" localSheetId="3" hidden="1">2</definedName>
    <definedName name="solver_rlx" localSheetId="2" hidden="1">2</definedName>
    <definedName name="solver_rlx" localSheetId="1" hidden="1">2</definedName>
    <definedName name="solver_rsd" localSheetId="3" hidden="1">0</definedName>
    <definedName name="solver_rsd" localSheetId="2" hidden="1">0</definedName>
    <definedName name="solver_rsd" localSheetId="1" hidden="1">0</definedName>
    <definedName name="solver_scl" localSheetId="3" hidden="1">1</definedName>
    <definedName name="solver_scl" localSheetId="2" hidden="1">1</definedName>
    <definedName name="solver_scl" localSheetId="1" hidden="1">1</definedName>
    <definedName name="solver_sho" localSheetId="3" hidden="1">2</definedName>
    <definedName name="solver_sho" localSheetId="2" hidden="1">2</definedName>
    <definedName name="solver_sho" localSheetId="1" hidden="1">2</definedName>
    <definedName name="solver_ssz" localSheetId="3" hidden="1">100</definedName>
    <definedName name="solver_ssz" localSheetId="2" hidden="1">100</definedName>
    <definedName name="solver_ssz" localSheetId="1" hidden="1">100</definedName>
    <definedName name="solver_tim" localSheetId="3" hidden="1">2147483647</definedName>
    <definedName name="solver_tim" localSheetId="2" hidden="1">2147483647</definedName>
    <definedName name="solver_tim" localSheetId="1" hidden="1">2147483647</definedName>
    <definedName name="solver_tol" localSheetId="3" hidden="1">0.01</definedName>
    <definedName name="solver_tol" localSheetId="2" hidden="1">0.01</definedName>
    <definedName name="solver_tol" localSheetId="1" hidden="1">0.01</definedName>
    <definedName name="solver_typ" localSheetId="3" hidden="1">2</definedName>
    <definedName name="solver_typ" localSheetId="2" hidden="1">1</definedName>
    <definedName name="solver_typ" localSheetId="1" hidden="1">1</definedName>
    <definedName name="solver_val" localSheetId="3" hidden="1">0</definedName>
    <definedName name="solver_val" localSheetId="2" hidden="1">0</definedName>
    <definedName name="solver_val" localSheetId="1" hidden="1">0</definedName>
    <definedName name="solver_ver" localSheetId="3" hidden="1">3</definedName>
    <definedName name="solver_ver" localSheetId="2" hidden="1">3</definedName>
    <definedName name="solver_ver" localSheetId="1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7" i="6"/>
  <c r="D11" i="6"/>
  <c r="B9" i="1"/>
  <c r="J15" i="1"/>
  <c r="E17" i="1"/>
  <c r="K10" i="6" l="1"/>
  <c r="B3" i="5" l="1"/>
  <c r="B2" i="5"/>
  <c r="G2" i="5"/>
  <c r="G1" i="5"/>
  <c r="C11" i="5"/>
  <c r="D11" i="5"/>
  <c r="E11" i="5"/>
  <c r="F10" i="5"/>
  <c r="F9" i="5"/>
  <c r="B11" i="5"/>
  <c r="G3" i="5" l="1"/>
  <c r="I3" i="3"/>
  <c r="G13" i="3"/>
  <c r="D13" i="3"/>
  <c r="I2" i="3"/>
  <c r="I16" i="3" l="1"/>
  <c r="I15" i="3"/>
  <c r="K14" i="3"/>
  <c r="K13" i="3"/>
  <c r="I14" i="3"/>
  <c r="I13" i="3"/>
  <c r="A20" i="3"/>
  <c r="G14" i="3"/>
  <c r="G15" i="3"/>
  <c r="G16" i="3"/>
  <c r="G17" i="3"/>
  <c r="G18" i="3"/>
  <c r="G19" i="3"/>
  <c r="B20" i="3"/>
  <c r="D14" i="3"/>
  <c r="D15" i="3"/>
  <c r="D16" i="3"/>
  <c r="D17" i="3"/>
  <c r="D18" i="3"/>
  <c r="D19" i="3"/>
  <c r="A15" i="2"/>
  <c r="A9" i="2"/>
  <c r="D9" i="2"/>
  <c r="C9" i="2"/>
  <c r="I4" i="3" l="1"/>
  <c r="C15" i="2"/>
  <c r="D15" i="2"/>
  <c r="E4" i="1" l="1"/>
  <c r="S10" i="1"/>
  <c r="R4" i="1" l="1"/>
  <c r="R5" i="1" s="1"/>
  <c r="R2" i="1"/>
  <c r="L16" i="1"/>
  <c r="L17" i="1"/>
  <c r="L18" i="1"/>
  <c r="L19" i="1"/>
  <c r="L20" i="1"/>
  <c r="L21" i="1"/>
  <c r="L22" i="1"/>
  <c r="L23" i="1"/>
  <c r="L24" i="1"/>
  <c r="L25" i="1"/>
  <c r="L26" i="1"/>
  <c r="L27" i="1"/>
  <c r="M16" i="1"/>
  <c r="M17" i="1"/>
  <c r="M18" i="1"/>
  <c r="M19" i="1"/>
  <c r="M20" i="1"/>
  <c r="M21" i="1"/>
  <c r="M22" i="1"/>
  <c r="M23" i="1"/>
  <c r="M24" i="1"/>
  <c r="M25" i="1"/>
  <c r="M26" i="1"/>
  <c r="M27" i="1"/>
  <c r="H6" i="1" l="1"/>
  <c r="E6" i="1"/>
  <c r="B5" i="1"/>
  <c r="B7" i="1" s="1"/>
  <c r="B3" i="1"/>
  <c r="H4" i="1" s="1"/>
  <c r="H9" i="1" l="1"/>
  <c r="H13" i="1" s="1"/>
  <c r="H11" i="1"/>
  <c r="H19" i="1" l="1"/>
  <c r="O4" i="1"/>
  <c r="E11" i="1"/>
  <c r="E9" i="1"/>
  <c r="H12" i="1"/>
  <c r="H15" i="1" s="1"/>
  <c r="E13" i="1" l="1"/>
  <c r="J13" i="1" s="1"/>
  <c r="S8" i="1" s="1"/>
  <c r="S7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E19" i="1"/>
  <c r="S4" i="1" s="1"/>
  <c r="E12" i="1"/>
  <c r="J12" i="1" s="1"/>
  <c r="S5" i="1" s="1"/>
  <c r="J11" i="1"/>
  <c r="S2" i="1" s="1"/>
  <c r="R7" i="1" l="1"/>
  <c r="R8" i="1" s="1"/>
  <c r="R10" i="1" s="1"/>
  <c r="E15" i="1"/>
</calcChain>
</file>

<file path=xl/sharedStrings.xml><?xml version="1.0" encoding="utf-8"?>
<sst xmlns="http://schemas.openxmlformats.org/spreadsheetml/2006/main" count="153" uniqueCount="90">
  <si>
    <t>In House</t>
  </si>
  <si>
    <t>Annual Demand</t>
  </si>
  <si>
    <t>Cost per unit</t>
  </si>
  <si>
    <t>Fixed Cost %</t>
  </si>
  <si>
    <t>Variable Cost per unit</t>
  </si>
  <si>
    <t>Annual Savings</t>
  </si>
  <si>
    <t>Peak</t>
  </si>
  <si>
    <t>Non Peak</t>
  </si>
  <si>
    <t>6 Mo Demand</t>
  </si>
  <si>
    <t>Order Cost</t>
  </si>
  <si>
    <t>Holding Percentage</t>
  </si>
  <si>
    <t>Price</t>
  </si>
  <si>
    <t>Order Quantity</t>
  </si>
  <si>
    <t>COGS</t>
  </si>
  <si>
    <t>6 mo Order Cost</t>
  </si>
  <si>
    <t>6 mo Holding Cost</t>
  </si>
  <si>
    <t>6 mo Total Cost</t>
  </si>
  <si>
    <t>Annual Cost</t>
  </si>
  <si>
    <t>Simulation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</si>
  <si>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</si>
  <si>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</si>
  <si>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</si>
  <si>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</si>
  <si>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</si>
  <si>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</si>
  <si>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</si>
  <si>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</si>
  <si>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</si>
  <si>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</si>
  <si>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</si>
  <si>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</si>
  <si>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</si>
  <si>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Demand</t>
  </si>
  <si>
    <t>Order Q</t>
  </si>
  <si>
    <t>Left Over Inventory</t>
  </si>
  <si>
    <t>Number Times Order</t>
  </si>
  <si>
    <t>Number of Orders</t>
  </si>
  <si>
    <t>Order cost</t>
  </si>
  <si>
    <t>Average Inventory</t>
  </si>
  <si>
    <t>Total Cost</t>
  </si>
  <si>
    <t>EOQ</t>
  </si>
  <si>
    <t>Outsource</t>
  </si>
  <si>
    <t>Holding Cost</t>
  </si>
  <si>
    <t>1).</t>
  </si>
  <si>
    <t>demand=</t>
  </si>
  <si>
    <t>elevators per year or motors</t>
  </si>
  <si>
    <t>price=</t>
  </si>
  <si>
    <t>per motor</t>
  </si>
  <si>
    <t>fixed transport cost</t>
  </si>
  <si>
    <t>of</t>
  </si>
  <si>
    <t>motors per shipment</t>
  </si>
  <si>
    <t>q=</t>
  </si>
  <si>
    <t>avg. inv.</t>
  </si>
  <si>
    <t>carrying cost</t>
  </si>
  <si>
    <t>+</t>
  </si>
  <si>
    <t>total cost</t>
  </si>
  <si>
    <t>ordering cost=</t>
  </si>
  <si>
    <t>2).</t>
  </si>
  <si>
    <t>eoq=</t>
  </si>
  <si>
    <t>Show</t>
  </si>
  <si>
    <t>Revenue</t>
  </si>
  <si>
    <t>Cost</t>
  </si>
  <si>
    <t>Min # of Performances</t>
  </si>
  <si>
    <t>evelyn hall</t>
  </si>
  <si>
    <t>ellie hall</t>
  </si>
  <si>
    <t>&gt;=</t>
  </si>
  <si>
    <t>=</t>
  </si>
  <si>
    <t>goal</t>
  </si>
  <si>
    <t>profit</t>
  </si>
  <si>
    <t>cost</t>
  </si>
  <si>
    <t>constraints</t>
  </si>
  <si>
    <t>Miami</t>
  </si>
  <si>
    <t>Chicago</t>
  </si>
  <si>
    <t>Indianapolis</t>
  </si>
  <si>
    <t>Newsville</t>
  </si>
  <si>
    <t>Evenston</t>
  </si>
  <si>
    <t>Revont</t>
  </si>
  <si>
    <t>&lt;=</t>
  </si>
  <si>
    <t>Cost/Ad</t>
  </si>
  <si>
    <t>Exposure</t>
  </si>
  <si>
    <t>Min Units</t>
  </si>
  <si>
    <t>Max Units</t>
  </si>
  <si>
    <t>Television</t>
  </si>
  <si>
    <t>Radio</t>
  </si>
  <si>
    <t>Magazine</t>
  </si>
  <si>
    <t>units</t>
  </si>
  <si>
    <t>exposure</t>
  </si>
  <si>
    <t>Second problem is finding a way to look at the progress or score of a supplier will let us know which suppliers to not use and which to pick.</t>
  </si>
  <si>
    <t>third problem is keeping track of purchase orders and goods reciept to make sure they are being paid for on time.</t>
  </si>
  <si>
    <t>goal to reduce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</si>
</sst>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44" fontId="0" fillId="0" borderId="0" xfId="2" applyFont="1"/>
    <xf numFmtId="6" fontId="0" fillId="0" borderId="0" xfId="0" applyNumberFormat="1"/>
    <xf numFmtId="0" fontId="0" fillId="2" borderId="0" xfId="0" applyFill="1"/>
    <xf numFmtId="1" fontId="0" fillId="2" borderId="0" xfId="0" applyNumberFormat="1" applyFill="1"/>
    <xf numFmtId="1" fontId="0" fillId="0" borderId="0" xfId="0" applyNumberFormat="1"/>
    <xf numFmtId="43" fontId="0" fillId="0" borderId="0" xfId="1" applyFont="1"/>
    <xf numFmtId="165" fontId="0" fillId="0" borderId="0" xfId="1" applyNumberFormat="1" applyFont="1"/>
    <xf numFmtId="1" fontId="0" fillId="0" borderId="0" xfId="0" applyNumberFormat="1" applyFill="1"/>
    <xf numFmtId="164" fontId="2" fillId="0" borderId="0" xfId="0" applyNumberFormat="1" applyFont="1"/>
    <xf numFmtId="164" fontId="0" fillId="2" borderId="0" xfId="0" applyNumberFormat="1" applyFill="1"/>
    <xf numFmtId="44" fontId="0" fillId="2" borderId="0" xfId="2" applyFont="1" applyFill="1"/>
    <xf numFmtId="44" fontId="3" fillId="0" borderId="0" xfId="2" applyFont="1"/>
    <xf numFmtId="43" fontId="0" fillId="2" borderId="1" xfId="1" applyFont="1" applyFill="1" applyBorder="1"/>
    <xf numFmtId="43" fontId="0" fillId="2" borderId="2" xfId="1" applyFont="1" applyFill="1" applyBorder="1"/>
    <xf numFmtId="43" fontId="0" fillId="2" borderId="3" xfId="1" applyFont="1" applyFill="1" applyBorder="1"/>
    <xf numFmtId="43" fontId="0" fillId="2" borderId="4" xfId="1" applyFont="1" applyFill="1" applyBorder="1"/>
    <xf numFmtId="43" fontId="0" fillId="2" borderId="5" xfId="1" applyFont="1" applyFill="1" applyBorder="1"/>
    <xf numFmtId="43" fontId="0" fillId="2" borderId="6" xfId="1" applyFon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4" xfId="0" applyNumberFormat="1" applyBorder="1"/>
    <xf numFmtId="8" fontId="0" fillId="0" borderId="5" xfId="0" applyNumberFormat="1" applyBorder="1"/>
    <xf numFmtId="8" fontId="0" fillId="0" borderId="6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K1" zoomScaleNormal="100" workbookViewId="0">
      <selection activeCell="B8" sqref="B8"/>
    </sheetView>
  </sheetViews>
  <sheetFormatPr defaultRowHeight="14.35" x14ac:dyDescent="0.5"/>
  <cols>
    <col min="1" max="1" width="19" customWidth="1"/>
    <col min="2" max="2" width="10.87890625" bestFit="1" customWidth="1"/>
    <col min="4" max="4" width="22" customWidth="1"/>
    <col min="5" max="5" width="14.5859375" customWidth="1"/>
    <col min="7" max="7" width="17.87890625" customWidth="1"/>
    <col min="8" max="8" width="12.87890625" customWidth="1"/>
    <col min="10" max="10" width="10.1171875" bestFit="1" customWidth="1"/>
    <col min="15" max="15" width="18.1171875" customWidth="1"/>
    <col min="17" max="17" width="17" customWidth="1"/>
    <col min="18" max="19" width="10.1171875" style="1" bestFit="1" customWidth="1"/>
  </cols>
  <sheetData>
    <row r="1" spans="1:19" x14ac:dyDescent="0.5">
      <c r="A1" t="s">
        <v>0</v>
      </c>
      <c r="D1" t="s">
        <v>41</v>
      </c>
      <c r="L1" t="s">
        <v>18</v>
      </c>
      <c r="R1" s="1" t="s">
        <v>18</v>
      </c>
      <c r="S1" s="1" t="s">
        <v>40</v>
      </c>
    </row>
    <row r="2" spans="1:19" x14ac:dyDescent="0.5">
      <c r="Q2" t="s">
        <v>13</v>
      </c>
      <c r="R2" s="3">
        <f>SUM(N4:N27)*E7/2</f>
        <v>86560</v>
      </c>
      <c r="S2" s="3">
        <f>J11</f>
        <v>86559.999999999985</v>
      </c>
    </row>
    <row r="3" spans="1:19" x14ac:dyDescent="0.5">
      <c r="A3" t="s">
        <v>1</v>
      </c>
      <c r="B3">
        <f>40*20</f>
        <v>800</v>
      </c>
      <c r="D3" t="s">
        <v>6</v>
      </c>
      <c r="G3" t="s">
        <v>7</v>
      </c>
      <c r="L3" t="s">
        <v>19</v>
      </c>
      <c r="M3" t="s">
        <v>32</v>
      </c>
      <c r="N3" t="s">
        <v>33</v>
      </c>
      <c r="O3" t="s">
        <v>34</v>
      </c>
    </row>
    <row r="4" spans="1:19" x14ac:dyDescent="0.5">
      <c r="A4" t="s">
        <v>2</v>
      </c>
      <c r="B4" s="4">
        <v>150.1</v>
      </c>
      <c r="D4" t="s">
        <v>8</v>
      </c>
      <c r="E4">
        <f>2/3*B3</f>
        <v>533.33333333333326</v>
      </c>
      <c r="G4" t="s">
        <v>8</v>
      </c>
      <c r="H4">
        <f>1/3*B3</f>
        <v>266.66666666666663</v>
      </c>
      <c r="L4" t="s">
        <v>24</v>
      </c>
      <c r="M4">
        <v>44.444444444444436</v>
      </c>
      <c r="N4">
        <v>61</v>
      </c>
      <c r="O4">
        <f>N4-M4</f>
        <v>16.555555555555564</v>
      </c>
      <c r="Q4" t="s">
        <v>36</v>
      </c>
      <c r="R4" s="1">
        <f>COUNT(N:N)/2</f>
        <v>11</v>
      </c>
      <c r="S4" s="1">
        <f>E19+H19</f>
        <v>10.588344240699879</v>
      </c>
    </row>
    <row r="5" spans="1:19" x14ac:dyDescent="0.5">
      <c r="A5" t="s">
        <v>3</v>
      </c>
      <c r="B5">
        <f>0.2</f>
        <v>0.2</v>
      </c>
      <c r="D5" t="s">
        <v>9</v>
      </c>
      <c r="E5">
        <v>75</v>
      </c>
      <c r="G5" t="s">
        <v>9</v>
      </c>
      <c r="H5">
        <v>75</v>
      </c>
      <c r="L5" t="s">
        <v>25</v>
      </c>
      <c r="M5">
        <v>44.444444444444436</v>
      </c>
      <c r="N5">
        <v>61</v>
      </c>
      <c r="O5">
        <f>N5-M5+O4</f>
        <v>33.111111111111128</v>
      </c>
      <c r="Q5" t="s">
        <v>37</v>
      </c>
      <c r="R5" s="3">
        <f>R4*E5</f>
        <v>825</v>
      </c>
      <c r="S5" s="3">
        <f>J12</f>
        <v>794.12581805249079</v>
      </c>
    </row>
    <row r="6" spans="1:19" x14ac:dyDescent="0.5">
      <c r="D6" t="s">
        <v>10</v>
      </c>
      <c r="E6">
        <f>0.2/2</f>
        <v>0.1</v>
      </c>
      <c r="G6" t="s">
        <v>10</v>
      </c>
      <c r="H6">
        <f>0.2/2</f>
        <v>0.1</v>
      </c>
      <c r="L6" t="s">
        <v>26</v>
      </c>
      <c r="M6">
        <v>44.444444444444436</v>
      </c>
      <c r="N6">
        <v>61</v>
      </c>
      <c r="O6">
        <f t="shared" ref="O6:O27" si="0">N6-M6+O5</f>
        <v>49.666666666666693</v>
      </c>
    </row>
    <row r="7" spans="1:19" x14ac:dyDescent="0.5">
      <c r="A7" t="s">
        <v>4</v>
      </c>
      <c r="B7" s="4">
        <f>(1-B5)*B4</f>
        <v>120.08</v>
      </c>
      <c r="D7" t="s">
        <v>11</v>
      </c>
      <c r="E7">
        <v>108.2</v>
      </c>
      <c r="G7" t="s">
        <v>11</v>
      </c>
      <c r="H7">
        <v>108.2</v>
      </c>
      <c r="L7" t="s">
        <v>27</v>
      </c>
      <c r="M7">
        <v>44.444444444444436</v>
      </c>
      <c r="O7">
        <f t="shared" si="0"/>
        <v>5.222222222222257</v>
      </c>
      <c r="Q7" t="s">
        <v>38</v>
      </c>
      <c r="R7" s="1">
        <f>AVERAGE(O:O)</f>
        <v>34.041666666666821</v>
      </c>
      <c r="S7" s="1">
        <f>((E9+H9)/2)/2</f>
        <v>36.697126527379424</v>
      </c>
    </row>
    <row r="8" spans="1:19" x14ac:dyDescent="0.5">
      <c r="L8" t="s">
        <v>28</v>
      </c>
      <c r="M8">
        <v>44.444444444444436</v>
      </c>
      <c r="N8">
        <v>61</v>
      </c>
      <c r="O8">
        <f t="shared" si="0"/>
        <v>21.777777777777821</v>
      </c>
      <c r="Q8" t="s">
        <v>42</v>
      </c>
      <c r="R8" s="3">
        <f>R7*(2*E6)*E7</f>
        <v>736.66166666667004</v>
      </c>
      <c r="S8" s="3">
        <f>J13</f>
        <v>794.12581805249079</v>
      </c>
    </row>
    <row r="9" spans="1:19" x14ac:dyDescent="0.5">
      <c r="A9" t="s">
        <v>5</v>
      </c>
      <c r="B9" s="14">
        <f>B3*B7</f>
        <v>96064</v>
      </c>
      <c r="D9" t="s">
        <v>12</v>
      </c>
      <c r="E9">
        <f>SQRT(2*E4*E5/(E6*E7))</f>
        <v>85.986716078469541</v>
      </c>
      <c r="G9" t="s">
        <v>12</v>
      </c>
      <c r="H9">
        <f>SQRT(2*H4*H5/(H6*H7))</f>
        <v>60.801790031048156</v>
      </c>
      <c r="L9" t="s">
        <v>29</v>
      </c>
      <c r="M9">
        <v>44.444444444444436</v>
      </c>
      <c r="N9">
        <v>61</v>
      </c>
      <c r="O9">
        <f t="shared" si="0"/>
        <v>38.333333333333385</v>
      </c>
    </row>
    <row r="10" spans="1:19" x14ac:dyDescent="0.5">
      <c r="J10" t="s">
        <v>17</v>
      </c>
      <c r="L10" t="s">
        <v>30</v>
      </c>
      <c r="M10">
        <v>88.888888888888872</v>
      </c>
      <c r="N10">
        <v>86</v>
      </c>
      <c r="O10">
        <f t="shared" si="0"/>
        <v>35.444444444444514</v>
      </c>
      <c r="Q10" t="s">
        <v>39</v>
      </c>
      <c r="R10" s="3">
        <f>R2+R5+R8</f>
        <v>88121.661666666667</v>
      </c>
      <c r="S10" s="3">
        <f>J15</f>
        <v>88148.251636104964</v>
      </c>
    </row>
    <row r="11" spans="1:19" x14ac:dyDescent="0.5">
      <c r="D11" t="s">
        <v>13</v>
      </c>
      <c r="E11" s="2">
        <f>E4*E7</f>
        <v>57706.666666666657</v>
      </c>
      <c r="G11" t="s">
        <v>13</v>
      </c>
      <c r="H11" s="2">
        <f>H4*H7</f>
        <v>28853.333333333328</v>
      </c>
      <c r="I11" s="2"/>
      <c r="J11" s="2">
        <f>E11+H11</f>
        <v>86559.999999999985</v>
      </c>
      <c r="L11" t="s">
        <v>31</v>
      </c>
      <c r="M11">
        <v>88.888888888888872</v>
      </c>
      <c r="N11">
        <v>86</v>
      </c>
      <c r="O11">
        <f t="shared" si="0"/>
        <v>32.555555555555642</v>
      </c>
    </row>
    <row r="12" spans="1:19" x14ac:dyDescent="0.5">
      <c r="D12" t="s">
        <v>14</v>
      </c>
      <c r="E12" s="12">
        <f>E4/E9*E5</f>
        <v>465.18813398452033</v>
      </c>
      <c r="G12" t="s">
        <v>14</v>
      </c>
      <c r="H12" s="12">
        <f>H4/H9*H5</f>
        <v>328.93768406797051</v>
      </c>
      <c r="I12" s="2"/>
      <c r="J12" s="2">
        <f t="shared" ref="J12:J15" si="1">E12+H12</f>
        <v>794.12581805249079</v>
      </c>
      <c r="L12" t="s">
        <v>20</v>
      </c>
      <c r="M12">
        <v>88.888888888888872</v>
      </c>
      <c r="N12">
        <v>86</v>
      </c>
      <c r="O12">
        <f t="shared" si="0"/>
        <v>29.666666666666771</v>
      </c>
    </row>
    <row r="13" spans="1:19" x14ac:dyDescent="0.5">
      <c r="D13" t="s">
        <v>15</v>
      </c>
      <c r="E13" s="12">
        <f>E9/2*E6*E7</f>
        <v>465.18813398452028</v>
      </c>
      <c r="G13" t="s">
        <v>15</v>
      </c>
      <c r="H13" s="12">
        <f>H9/2*H6*H7</f>
        <v>328.93768406797057</v>
      </c>
      <c r="I13" s="2"/>
      <c r="J13" s="2">
        <f t="shared" si="1"/>
        <v>794.12581805249079</v>
      </c>
      <c r="L13" t="s">
        <v>21</v>
      </c>
      <c r="M13">
        <v>88.888888888888872</v>
      </c>
      <c r="N13">
        <v>86</v>
      </c>
      <c r="O13">
        <f t="shared" si="0"/>
        <v>26.777777777777899</v>
      </c>
    </row>
    <row r="14" spans="1:19" x14ac:dyDescent="0.5">
      <c r="E14" s="2"/>
      <c r="H14" s="2"/>
      <c r="I14" s="2"/>
      <c r="J14" s="2"/>
      <c r="L14" t="s">
        <v>22</v>
      </c>
      <c r="M14">
        <v>88.888888888888872</v>
      </c>
      <c r="N14">
        <v>86</v>
      </c>
      <c r="O14">
        <f t="shared" si="0"/>
        <v>23.888888888889028</v>
      </c>
    </row>
    <row r="15" spans="1:19" x14ac:dyDescent="0.5">
      <c r="D15" t="s">
        <v>16</v>
      </c>
      <c r="E15" s="2">
        <f>SUM(E11:E13)</f>
        <v>58637.042934635698</v>
      </c>
      <c r="G15" t="s">
        <v>16</v>
      </c>
      <c r="H15" s="2">
        <f>SUM(H11:H13)</f>
        <v>29511.208701469266</v>
      </c>
      <c r="I15" s="2"/>
      <c r="J15" s="2">
        <f>E15+H15</f>
        <v>88148.251636104964</v>
      </c>
      <c r="L15" t="s">
        <v>23</v>
      </c>
      <c r="M15">
        <v>88.888888888888872</v>
      </c>
      <c r="N15">
        <v>86</v>
      </c>
      <c r="O15">
        <f t="shared" si="0"/>
        <v>21.000000000000156</v>
      </c>
    </row>
    <row r="16" spans="1:19" x14ac:dyDescent="0.5">
      <c r="E16" s="2"/>
      <c r="L16" t="str">
        <f>L4</f>
        <v>May</v>
      </c>
      <c r="M16">
        <f>M4</f>
        <v>44.444444444444436</v>
      </c>
      <c r="N16">
        <v>61</v>
      </c>
      <c r="O16">
        <f t="shared" si="0"/>
        <v>37.555555555555721</v>
      </c>
    </row>
    <row r="17" spans="4:15" x14ac:dyDescent="0.5">
      <c r="D17" t="s">
        <v>17</v>
      </c>
      <c r="E17" s="13">
        <f>E15+H15</f>
        <v>88148.251636104964</v>
      </c>
      <c r="L17" t="str">
        <f t="shared" ref="L17:M17" si="2">L5</f>
        <v>Jun</v>
      </c>
      <c r="M17">
        <f t="shared" si="2"/>
        <v>44.444444444444436</v>
      </c>
      <c r="N17">
        <v>61</v>
      </c>
      <c r="O17">
        <f t="shared" si="0"/>
        <v>54.111111111111285</v>
      </c>
    </row>
    <row r="18" spans="4:15" x14ac:dyDescent="0.5">
      <c r="L18" t="str">
        <f t="shared" ref="L18:M18" si="3">L6</f>
        <v>Jul</v>
      </c>
      <c r="M18">
        <f t="shared" si="3"/>
        <v>44.444444444444436</v>
      </c>
      <c r="O18">
        <f t="shared" si="0"/>
        <v>9.666666666666849</v>
      </c>
    </row>
    <row r="19" spans="4:15" x14ac:dyDescent="0.5">
      <c r="D19" t="s">
        <v>35</v>
      </c>
      <c r="E19">
        <f>E4/E9</f>
        <v>6.2025084531269377</v>
      </c>
      <c r="G19" t="s">
        <v>35</v>
      </c>
      <c r="H19">
        <f>H4/H9</f>
        <v>4.3858357875729403</v>
      </c>
      <c r="L19" t="str">
        <f t="shared" ref="L19:M19" si="4">L7</f>
        <v>Aug</v>
      </c>
      <c r="M19">
        <f t="shared" si="4"/>
        <v>44.444444444444436</v>
      </c>
      <c r="N19">
        <v>61</v>
      </c>
      <c r="O19">
        <f t="shared" si="0"/>
        <v>26.222222222222413</v>
      </c>
    </row>
    <row r="20" spans="4:15" x14ac:dyDescent="0.5">
      <c r="L20" t="str">
        <f t="shared" ref="L20:M20" si="5">L8</f>
        <v>Sep</v>
      </c>
      <c r="M20">
        <f t="shared" si="5"/>
        <v>44.444444444444436</v>
      </c>
      <c r="N20">
        <v>61</v>
      </c>
      <c r="O20">
        <f t="shared" si="0"/>
        <v>42.777777777777978</v>
      </c>
    </row>
    <row r="21" spans="4:15" x14ac:dyDescent="0.5">
      <c r="L21" t="str">
        <f t="shared" ref="L21:M21" si="6">L9</f>
        <v>Oct</v>
      </c>
      <c r="M21">
        <f t="shared" si="6"/>
        <v>44.444444444444436</v>
      </c>
      <c r="N21">
        <v>61</v>
      </c>
      <c r="O21">
        <f t="shared" si="0"/>
        <v>59.333333333333542</v>
      </c>
    </row>
    <row r="22" spans="4:15" x14ac:dyDescent="0.5">
      <c r="L22" t="str">
        <f t="shared" ref="L22:M22" si="7">L10</f>
        <v>Nov</v>
      </c>
      <c r="M22">
        <f t="shared" si="7"/>
        <v>88.888888888888872</v>
      </c>
      <c r="N22">
        <v>86</v>
      </c>
      <c r="O22">
        <f t="shared" si="0"/>
        <v>56.44444444444467</v>
      </c>
    </row>
    <row r="23" spans="4:15" x14ac:dyDescent="0.5">
      <c r="L23" t="str">
        <f t="shared" ref="L23:M23" si="8">L11</f>
        <v>Dec</v>
      </c>
      <c r="M23">
        <f t="shared" si="8"/>
        <v>88.888888888888872</v>
      </c>
      <c r="N23">
        <v>86</v>
      </c>
      <c r="O23">
        <f t="shared" si="0"/>
        <v>53.555555555555799</v>
      </c>
    </row>
    <row r="24" spans="4:15" x14ac:dyDescent="0.5">
      <c r="L24" t="str">
        <f t="shared" ref="L24:M24" si="9">L12</f>
        <v>Jan</v>
      </c>
      <c r="M24">
        <f t="shared" si="9"/>
        <v>88.888888888888872</v>
      </c>
      <c r="N24">
        <v>86</v>
      </c>
      <c r="O24">
        <f t="shared" si="0"/>
        <v>50.666666666666927</v>
      </c>
    </row>
    <row r="25" spans="4:15" x14ac:dyDescent="0.5">
      <c r="L25" t="str">
        <f t="shared" ref="L25:M25" si="10">L13</f>
        <v>Feb</v>
      </c>
      <c r="M25">
        <f t="shared" si="10"/>
        <v>88.888888888888872</v>
      </c>
      <c r="N25">
        <v>86</v>
      </c>
      <c r="O25">
        <f t="shared" si="0"/>
        <v>47.777777777778056</v>
      </c>
    </row>
    <row r="26" spans="4:15" x14ac:dyDescent="0.5">
      <c r="L26" t="str">
        <f>L14</f>
        <v>Mar</v>
      </c>
      <c r="M26">
        <f>M14</f>
        <v>88.888888888888872</v>
      </c>
      <c r="N26">
        <v>86</v>
      </c>
      <c r="O26">
        <f t="shared" si="0"/>
        <v>44.888888888889184</v>
      </c>
    </row>
    <row r="27" spans="4:15" x14ac:dyDescent="0.5">
      <c r="L27" t="str">
        <f t="shared" ref="L27:M27" si="11">L15</f>
        <v>Apr</v>
      </c>
      <c r="M27">
        <f t="shared" si="11"/>
        <v>88.888888888888872</v>
      </c>
      <c r="N27">
        <v>44</v>
      </c>
      <c r="O27">
        <f t="shared" si="0"/>
        <v>3.1263880373444408E-13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activeCell="G14" sqref="G14"/>
    </sheetView>
  </sheetViews>
  <sheetFormatPr defaultRowHeight="14.35" x14ac:dyDescent="0.5"/>
  <cols>
    <col min="1" max="2" width="10.234375" bestFit="1" customWidth="1"/>
    <col min="3" max="3" width="10.234375" customWidth="1"/>
    <col min="10" max="10" width="13.41015625" bestFit="1" customWidth="1"/>
  </cols>
  <sheetData>
    <row r="2" spans="1:11" x14ac:dyDescent="0.5">
      <c r="A2" t="s">
        <v>59</v>
      </c>
      <c r="B2" t="s">
        <v>60</v>
      </c>
      <c r="C2" t="s">
        <v>60</v>
      </c>
      <c r="D2" t="s">
        <v>61</v>
      </c>
      <c r="E2" t="s">
        <v>61</v>
      </c>
      <c r="F2" t="s">
        <v>62</v>
      </c>
      <c r="H2" t="s">
        <v>68</v>
      </c>
      <c r="I2" s="10">
        <f>SUMPRODUCT(B3:C9,A13:B19)</f>
        <v>600637</v>
      </c>
    </row>
    <row r="3" spans="1:11" x14ac:dyDescent="0.5">
      <c r="A3">
        <v>1</v>
      </c>
      <c r="B3" s="5">
        <v>2217</v>
      </c>
      <c r="C3" s="5">
        <v>2217</v>
      </c>
      <c r="D3" s="5">
        <v>968</v>
      </c>
      <c r="E3" s="5">
        <v>968</v>
      </c>
      <c r="F3">
        <v>32</v>
      </c>
      <c r="H3" t="s">
        <v>69</v>
      </c>
      <c r="I3" s="10">
        <f>SUMPRODUCT(D3:E9,A13:B19)</f>
        <v>257728</v>
      </c>
    </row>
    <row r="4" spans="1:11" x14ac:dyDescent="0.5">
      <c r="A4">
        <v>2</v>
      </c>
      <c r="B4" s="5">
        <v>2330</v>
      </c>
      <c r="C4" s="5">
        <v>2330</v>
      </c>
      <c r="D4" s="5">
        <v>1568</v>
      </c>
      <c r="E4" s="5">
        <v>1568</v>
      </c>
      <c r="F4">
        <v>13</v>
      </c>
      <c r="H4" t="s">
        <v>67</v>
      </c>
      <c r="I4" s="10">
        <f>I2-I3</f>
        <v>342909</v>
      </c>
    </row>
    <row r="5" spans="1:11" x14ac:dyDescent="0.5">
      <c r="A5">
        <v>3</v>
      </c>
      <c r="B5" s="5">
        <v>1993</v>
      </c>
      <c r="C5" s="5">
        <v>1993</v>
      </c>
      <c r="D5" s="5">
        <v>755</v>
      </c>
      <c r="E5" s="5">
        <v>755</v>
      </c>
      <c r="F5">
        <v>23</v>
      </c>
    </row>
    <row r="6" spans="1:11" x14ac:dyDescent="0.5">
      <c r="A6">
        <v>4</v>
      </c>
      <c r="B6" s="5">
        <v>3364</v>
      </c>
      <c r="C6" s="5">
        <v>3364</v>
      </c>
      <c r="D6" s="5">
        <v>1148</v>
      </c>
      <c r="E6" s="5">
        <v>1148</v>
      </c>
      <c r="F6">
        <v>34</v>
      </c>
    </row>
    <row r="7" spans="1:11" x14ac:dyDescent="0.5">
      <c r="A7">
        <v>5</v>
      </c>
      <c r="B7" s="5">
        <v>2868</v>
      </c>
      <c r="C7" s="5">
        <v>2868</v>
      </c>
      <c r="D7" s="5">
        <v>1180</v>
      </c>
      <c r="E7" s="5">
        <v>1180</v>
      </c>
      <c r="F7">
        <v>35</v>
      </c>
    </row>
    <row r="8" spans="1:11" x14ac:dyDescent="0.5">
      <c r="A8">
        <v>6</v>
      </c>
      <c r="B8" s="5">
        <v>3851</v>
      </c>
      <c r="C8" s="5">
        <v>3851</v>
      </c>
      <c r="D8" s="5">
        <v>1541</v>
      </c>
      <c r="E8" s="5">
        <v>1541</v>
      </c>
      <c r="F8">
        <v>16</v>
      </c>
    </row>
    <row r="9" spans="1:11" x14ac:dyDescent="0.5">
      <c r="A9">
        <v>7</v>
      </c>
      <c r="B9" s="5">
        <v>1836</v>
      </c>
      <c r="C9" s="5">
        <v>1836</v>
      </c>
      <c r="D9" s="5">
        <v>1359</v>
      </c>
      <c r="E9" s="5">
        <v>1359</v>
      </c>
      <c r="F9">
        <v>21</v>
      </c>
    </row>
    <row r="12" spans="1:11" x14ac:dyDescent="0.5">
      <c r="A12" t="s">
        <v>63</v>
      </c>
      <c r="B12" t="s">
        <v>64</v>
      </c>
      <c r="I12" t="s">
        <v>70</v>
      </c>
    </row>
    <row r="13" spans="1:11" x14ac:dyDescent="0.5">
      <c r="A13" s="7">
        <v>0</v>
      </c>
      <c r="B13" s="7">
        <v>32</v>
      </c>
      <c r="C13" s="11"/>
      <c r="D13" s="8">
        <f>SUM(A13:B13)</f>
        <v>32</v>
      </c>
      <c r="E13" s="8"/>
      <c r="F13" t="s">
        <v>65</v>
      </c>
      <c r="G13">
        <f>F3</f>
        <v>32</v>
      </c>
      <c r="I13">
        <f>A16</f>
        <v>34</v>
      </c>
      <c r="J13" t="s">
        <v>66</v>
      </c>
      <c r="K13">
        <f>G16</f>
        <v>34</v>
      </c>
    </row>
    <row r="14" spans="1:11" x14ac:dyDescent="0.5">
      <c r="A14" s="7">
        <v>0</v>
      </c>
      <c r="B14" s="7">
        <v>13</v>
      </c>
      <c r="C14" s="11"/>
      <c r="D14">
        <f t="shared" ref="D14:D19" si="0">SUM(A14:B14)</f>
        <v>13</v>
      </c>
      <c r="F14" t="s">
        <v>65</v>
      </c>
      <c r="G14">
        <f>F4</f>
        <v>13</v>
      </c>
      <c r="I14">
        <f>A19</f>
        <v>21</v>
      </c>
      <c r="J14" t="s">
        <v>66</v>
      </c>
      <c r="K14">
        <f>G19</f>
        <v>21</v>
      </c>
    </row>
    <row r="15" spans="1:11" x14ac:dyDescent="0.5">
      <c r="A15" s="7">
        <v>0</v>
      </c>
      <c r="B15" s="7">
        <v>23</v>
      </c>
      <c r="C15" s="11"/>
      <c r="D15">
        <f t="shared" si="0"/>
        <v>23</v>
      </c>
      <c r="F15" t="s">
        <v>65</v>
      </c>
      <c r="G15">
        <f t="shared" ref="G15:G19" si="1">F5</f>
        <v>23</v>
      </c>
      <c r="I15" s="8">
        <f>B16</f>
        <v>0</v>
      </c>
      <c r="J15" t="s">
        <v>66</v>
      </c>
      <c r="K15">
        <v>0</v>
      </c>
    </row>
    <row r="16" spans="1:11" x14ac:dyDescent="0.5">
      <c r="A16" s="7">
        <v>34</v>
      </c>
      <c r="B16" s="7">
        <v>0</v>
      </c>
      <c r="C16" s="11"/>
      <c r="D16">
        <f t="shared" si="0"/>
        <v>34</v>
      </c>
      <c r="F16" t="s">
        <v>65</v>
      </c>
      <c r="G16">
        <f t="shared" si="1"/>
        <v>34</v>
      </c>
      <c r="I16" s="8">
        <f>B19</f>
        <v>0</v>
      </c>
      <c r="J16" t="s">
        <v>66</v>
      </c>
      <c r="K16">
        <v>0</v>
      </c>
    </row>
    <row r="17" spans="1:7" x14ac:dyDescent="0.5">
      <c r="A17" s="7">
        <v>5</v>
      </c>
      <c r="B17" s="7">
        <v>30</v>
      </c>
      <c r="C17" s="11"/>
      <c r="D17">
        <f t="shared" si="0"/>
        <v>35</v>
      </c>
      <c r="F17" t="s">
        <v>65</v>
      </c>
      <c r="G17">
        <f t="shared" si="1"/>
        <v>35</v>
      </c>
    </row>
    <row r="18" spans="1:7" x14ac:dyDescent="0.5">
      <c r="A18" s="7">
        <v>0</v>
      </c>
      <c r="B18" s="7">
        <v>52</v>
      </c>
      <c r="C18" s="11"/>
      <c r="D18">
        <f t="shared" si="0"/>
        <v>52</v>
      </c>
      <c r="F18" t="s">
        <v>65</v>
      </c>
      <c r="G18">
        <f t="shared" si="1"/>
        <v>16</v>
      </c>
    </row>
    <row r="19" spans="1:7" x14ac:dyDescent="0.5">
      <c r="A19" s="7">
        <v>21</v>
      </c>
      <c r="B19" s="7">
        <v>0</v>
      </c>
      <c r="C19" s="11"/>
      <c r="D19">
        <f t="shared" si="0"/>
        <v>21</v>
      </c>
      <c r="F19" t="s">
        <v>65</v>
      </c>
      <c r="G19">
        <f t="shared" si="1"/>
        <v>21</v>
      </c>
    </row>
    <row r="20" spans="1:7" x14ac:dyDescent="0.5">
      <c r="A20">
        <f>SUM(A13:A19)</f>
        <v>60</v>
      </c>
      <c r="B20">
        <f>SUM(B13:B19)</f>
        <v>150</v>
      </c>
    </row>
    <row r="21" spans="1:7" x14ac:dyDescent="0.5">
      <c r="A21" t="s">
        <v>66</v>
      </c>
      <c r="B21" t="s">
        <v>66</v>
      </c>
    </row>
    <row r="22" spans="1:7" x14ac:dyDescent="0.5">
      <c r="A22">
        <v>60</v>
      </c>
      <c r="B22">
        <v>150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2" sqref="B2:E3"/>
    </sheetView>
  </sheetViews>
  <sheetFormatPr defaultRowHeight="14.35" x14ac:dyDescent="0.5"/>
  <cols>
    <col min="2" max="3" width="9.29296875" bestFit="1" customWidth="1"/>
    <col min="4" max="4" width="10.29296875" bestFit="1" customWidth="1"/>
    <col min="5" max="6" width="9.29296875" bestFit="1" customWidth="1"/>
    <col min="7" max="7" width="10.87890625" bestFit="1" customWidth="1"/>
  </cols>
  <sheetData>
    <row r="1" spans="1:8" ht="14.7" thickBot="1" x14ac:dyDescent="0.55000000000000004">
      <c r="B1" t="s">
        <v>71</v>
      </c>
      <c r="C1" t="s">
        <v>72</v>
      </c>
      <c r="D1" t="s">
        <v>73</v>
      </c>
      <c r="E1" t="s">
        <v>74</v>
      </c>
      <c r="F1" t="s">
        <v>68</v>
      </c>
      <c r="G1" s="14">
        <f>SUMPRODUCT(B6:E7,B9:E10)</f>
        <v>55490</v>
      </c>
    </row>
    <row r="2" spans="1:8" x14ac:dyDescent="0.5">
      <c r="A2" t="s">
        <v>75</v>
      </c>
      <c r="B2" s="22">
        <f>2.7+F4</f>
        <v>3.7</v>
      </c>
      <c r="C2" s="23">
        <v>3.35</v>
      </c>
      <c r="D2" s="23">
        <v>2.75</v>
      </c>
      <c r="E2" s="24">
        <v>3.15</v>
      </c>
      <c r="F2" t="s">
        <v>69</v>
      </c>
      <c r="G2" s="14">
        <f>SUMPRODUCT(B2:E3,B9:E10)</f>
        <v>36410</v>
      </c>
    </row>
    <row r="3" spans="1:8" ht="14.7" thickBot="1" x14ac:dyDescent="0.55000000000000004">
      <c r="A3" t="s">
        <v>76</v>
      </c>
      <c r="B3" s="25">
        <f>2.05+F4</f>
        <v>3.05</v>
      </c>
      <c r="C3" s="26">
        <v>3.9</v>
      </c>
      <c r="D3" s="26">
        <v>3.15</v>
      </c>
      <c r="E3" s="27">
        <v>3.95</v>
      </c>
      <c r="F3" t="s">
        <v>67</v>
      </c>
      <c r="G3" s="15">
        <f>G1-G2</f>
        <v>19080</v>
      </c>
    </row>
    <row r="4" spans="1:8" x14ac:dyDescent="0.5">
      <c r="F4">
        <v>1</v>
      </c>
    </row>
    <row r="5" spans="1:8" ht="14.7" thickBot="1" x14ac:dyDescent="0.55000000000000004">
      <c r="B5" t="s">
        <v>71</v>
      </c>
      <c r="C5" t="s">
        <v>72</v>
      </c>
      <c r="D5" t="s">
        <v>73</v>
      </c>
      <c r="E5" t="s">
        <v>74</v>
      </c>
    </row>
    <row r="6" spans="1:8" x14ac:dyDescent="0.5">
      <c r="A6" t="s">
        <v>75</v>
      </c>
      <c r="B6" s="22">
        <v>4.95</v>
      </c>
      <c r="C6" s="23">
        <v>5.45</v>
      </c>
      <c r="D6" s="23">
        <v>4.25</v>
      </c>
      <c r="E6" s="24">
        <v>5.25</v>
      </c>
    </row>
    <row r="7" spans="1:8" ht="14.7" thickBot="1" x14ac:dyDescent="0.55000000000000004">
      <c r="A7" t="s">
        <v>76</v>
      </c>
      <c r="B7" s="25">
        <v>4.95</v>
      </c>
      <c r="C7" s="26">
        <v>5.45</v>
      </c>
      <c r="D7" s="26">
        <v>4.25</v>
      </c>
      <c r="E7" s="27">
        <v>5.25</v>
      </c>
    </row>
    <row r="8" spans="1:8" ht="14.7" thickBot="1" x14ac:dyDescent="0.55000000000000004">
      <c r="B8" t="s">
        <v>71</v>
      </c>
      <c r="C8" t="s">
        <v>72</v>
      </c>
      <c r="D8" t="s">
        <v>73</v>
      </c>
      <c r="E8" t="s">
        <v>74</v>
      </c>
    </row>
    <row r="9" spans="1:8" x14ac:dyDescent="0.5">
      <c r="A9" t="s">
        <v>75</v>
      </c>
      <c r="B9" s="16">
        <v>0</v>
      </c>
      <c r="C9" s="17">
        <v>0</v>
      </c>
      <c r="D9" s="17">
        <v>0</v>
      </c>
      <c r="E9" s="18">
        <v>3000</v>
      </c>
      <c r="F9" s="9">
        <f>SUM(B9:E9)</f>
        <v>3000</v>
      </c>
      <c r="G9" t="s">
        <v>77</v>
      </c>
      <c r="H9">
        <v>3000</v>
      </c>
    </row>
    <row r="10" spans="1:8" ht="14.7" thickBot="1" x14ac:dyDescent="0.55000000000000004">
      <c r="A10" t="s">
        <v>76</v>
      </c>
      <c r="B10" s="19">
        <v>3400</v>
      </c>
      <c r="C10" s="20">
        <v>2800</v>
      </c>
      <c r="D10" s="20">
        <v>1800</v>
      </c>
      <c r="E10" s="21">
        <v>0</v>
      </c>
      <c r="F10" s="9">
        <f>SUM(B10:E10)</f>
        <v>8000</v>
      </c>
      <c r="G10" t="s">
        <v>77</v>
      </c>
      <c r="H10">
        <v>8000</v>
      </c>
    </row>
    <row r="11" spans="1:8" x14ac:dyDescent="0.5">
      <c r="B11" s="9">
        <f>SUM(B9:B10)</f>
        <v>3400</v>
      </c>
      <c r="C11" s="9">
        <f t="shared" ref="C11:E11" si="0">SUM(C9:C10)</f>
        <v>2800</v>
      </c>
      <c r="D11" s="9">
        <f t="shared" si="0"/>
        <v>1800</v>
      </c>
      <c r="E11" s="9">
        <f t="shared" si="0"/>
        <v>3000</v>
      </c>
    </row>
    <row r="12" spans="1:8" x14ac:dyDescent="0.5">
      <c r="B12" t="s">
        <v>65</v>
      </c>
      <c r="C12" t="s">
        <v>65</v>
      </c>
      <c r="D12" t="s">
        <v>65</v>
      </c>
      <c r="E12" t="s">
        <v>65</v>
      </c>
    </row>
    <row r="13" spans="1:8" x14ac:dyDescent="0.5">
      <c r="B13">
        <v>1500</v>
      </c>
      <c r="C13">
        <v>2800</v>
      </c>
      <c r="D13">
        <v>1800</v>
      </c>
      <c r="E13">
        <v>3000</v>
      </c>
    </row>
    <row r="15" spans="1:8" x14ac:dyDescent="0.5">
      <c r="A15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G21" sqref="G21"/>
    </sheetView>
  </sheetViews>
  <sheetFormatPr defaultRowHeight="14.35" x14ac:dyDescent="0.5"/>
  <cols>
    <col min="1" max="1" width="15.64453125" customWidth="1"/>
  </cols>
  <sheetData>
    <row r="1" spans="1:11" x14ac:dyDescent="0.5">
      <c r="B1" t="s">
        <v>78</v>
      </c>
      <c r="C1" t="s">
        <v>79</v>
      </c>
      <c r="D1" t="s">
        <v>80</v>
      </c>
      <c r="E1" t="s">
        <v>81</v>
      </c>
    </row>
    <row r="2" spans="1:11" x14ac:dyDescent="0.5">
      <c r="A2" t="s">
        <v>82</v>
      </c>
      <c r="B2" s="5">
        <v>800</v>
      </c>
      <c r="C2">
        <v>2000</v>
      </c>
      <c r="D2">
        <v>0</v>
      </c>
      <c r="E2">
        <v>12</v>
      </c>
    </row>
    <row r="3" spans="1:11" x14ac:dyDescent="0.5">
      <c r="A3" t="s">
        <v>83</v>
      </c>
      <c r="B3" s="5">
        <v>1800</v>
      </c>
      <c r="C3">
        <v>4000</v>
      </c>
      <c r="D3">
        <v>10</v>
      </c>
      <c r="E3">
        <v>20</v>
      </c>
    </row>
    <row r="4" spans="1:11" x14ac:dyDescent="0.5">
      <c r="A4" t="s">
        <v>84</v>
      </c>
      <c r="B4" s="5">
        <v>1200</v>
      </c>
      <c r="C4">
        <v>2500</v>
      </c>
      <c r="D4">
        <v>6</v>
      </c>
      <c r="E4">
        <v>15</v>
      </c>
    </row>
    <row r="6" spans="1:11" x14ac:dyDescent="0.5">
      <c r="D6" t="s">
        <v>80</v>
      </c>
      <c r="F6" t="s">
        <v>85</v>
      </c>
      <c r="H6" t="s">
        <v>81</v>
      </c>
    </row>
    <row r="7" spans="1:11" x14ac:dyDescent="0.5">
      <c r="A7" t="s">
        <v>89</v>
      </c>
      <c r="B7">
        <f>SUMPRODUCT(B2:B4,F7:F9)</f>
        <v>43800</v>
      </c>
      <c r="C7" t="s">
        <v>82</v>
      </c>
      <c r="D7">
        <v>0</v>
      </c>
      <c r="E7" t="s">
        <v>77</v>
      </c>
      <c r="F7" s="6">
        <v>12</v>
      </c>
      <c r="G7" t="s">
        <v>77</v>
      </c>
      <c r="H7">
        <v>12</v>
      </c>
    </row>
    <row r="8" spans="1:11" x14ac:dyDescent="0.5">
      <c r="C8" t="s">
        <v>83</v>
      </c>
      <c r="D8">
        <v>10</v>
      </c>
      <c r="E8" t="s">
        <v>77</v>
      </c>
      <c r="F8" s="6">
        <v>15</v>
      </c>
      <c r="G8" t="s">
        <v>77</v>
      </c>
      <c r="H8">
        <v>20</v>
      </c>
    </row>
    <row r="9" spans="1:11" x14ac:dyDescent="0.5">
      <c r="C9" t="s">
        <v>84</v>
      </c>
      <c r="D9">
        <v>6</v>
      </c>
      <c r="E9" t="s">
        <v>77</v>
      </c>
      <c r="F9" s="6">
        <v>6</v>
      </c>
      <c r="G9" t="s">
        <v>77</v>
      </c>
      <c r="H9">
        <v>15</v>
      </c>
    </row>
    <row r="10" spans="1:11" x14ac:dyDescent="0.5">
      <c r="K10" t="str">
        <f>VLOOKUP("television",D6:H9,5,1)</f>
        <v>Max Units</v>
      </c>
    </row>
    <row r="11" spans="1:11" x14ac:dyDescent="0.5">
      <c r="C11" t="s">
        <v>86</v>
      </c>
      <c r="D11">
        <f>SUMPRODUCT(C2:C4,F7:F9)</f>
        <v>99000</v>
      </c>
      <c r="E11" t="s">
        <v>65</v>
      </c>
      <c r="F11">
        <v>99000</v>
      </c>
    </row>
    <row r="15" spans="1:11" x14ac:dyDescent="0.5">
      <c r="A15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tabSelected="1" workbookViewId="0">
      <selection activeCell="F10" sqref="F10"/>
    </sheetView>
  </sheetViews>
  <sheetFormatPr defaultRowHeight="14.35" x14ac:dyDescent="0.5"/>
  <cols>
    <col min="1" max="1" width="11.29296875" customWidth="1"/>
    <col min="2" max="2" width="9.87890625" bestFit="1" customWidth="1"/>
    <col min="3" max="3" width="12" customWidth="1"/>
    <col min="4" max="4" width="10.87890625" bestFit="1" customWidth="1"/>
  </cols>
  <sheetData>
    <row r="2" spans="1:5" x14ac:dyDescent="0.5">
      <c r="A2" t="s">
        <v>43</v>
      </c>
    </row>
    <row r="3" spans="1:5" x14ac:dyDescent="0.5">
      <c r="A3" t="s">
        <v>44</v>
      </c>
      <c r="B3">
        <v>6000</v>
      </c>
      <c r="C3" t="s">
        <v>45</v>
      </c>
    </row>
    <row r="4" spans="1:5" x14ac:dyDescent="0.5">
      <c r="A4" t="s">
        <v>46</v>
      </c>
      <c r="B4" s="4">
        <v>2100</v>
      </c>
      <c r="C4" t="s">
        <v>47</v>
      </c>
    </row>
    <row r="5" spans="1:5" x14ac:dyDescent="0.5">
      <c r="A5" t="s">
        <v>48</v>
      </c>
      <c r="B5" s="4">
        <v>1000</v>
      </c>
      <c r="C5" t="s">
        <v>49</v>
      </c>
      <c r="D5">
        <v>240</v>
      </c>
      <c r="E5" t="s">
        <v>50</v>
      </c>
    </row>
    <row r="6" spans="1:5" x14ac:dyDescent="0.5">
      <c r="A6" t="s">
        <v>52</v>
      </c>
      <c r="B6">
        <v>60</v>
      </c>
      <c r="C6" t="s">
        <v>51</v>
      </c>
      <c r="D6">
        <v>120</v>
      </c>
      <c r="E6" t="s">
        <v>50</v>
      </c>
    </row>
    <row r="8" spans="1:5" x14ac:dyDescent="0.5">
      <c r="A8" t="s">
        <v>53</v>
      </c>
      <c r="B8" t="s">
        <v>54</v>
      </c>
      <c r="C8" t="s">
        <v>56</v>
      </c>
      <c r="D8" t="s">
        <v>55</v>
      </c>
    </row>
    <row r="9" spans="1:5" x14ac:dyDescent="0.5">
      <c r="A9" s="4">
        <f>(60*20)+((60*2100)*0.05)+((60*2100)*0.15)</f>
        <v>26400</v>
      </c>
      <c r="C9" s="4">
        <f>(B3/D6)*12.5</f>
        <v>625</v>
      </c>
      <c r="D9" s="4">
        <f>A9+C9</f>
        <v>27025</v>
      </c>
    </row>
    <row r="11" spans="1:5" x14ac:dyDescent="0.5">
      <c r="A11" t="s">
        <v>57</v>
      </c>
    </row>
    <row r="12" spans="1:5" x14ac:dyDescent="0.5">
      <c r="A12" t="s">
        <v>58</v>
      </c>
      <c r="B12">
        <f>SQRT(2*$B$3*12.5/20)</f>
        <v>86.602540378443862</v>
      </c>
    </row>
    <row r="14" spans="1:5" x14ac:dyDescent="0.5">
      <c r="A14" t="s">
        <v>53</v>
      </c>
      <c r="B14" t="s">
        <v>54</v>
      </c>
      <c r="C14" t="s">
        <v>56</v>
      </c>
      <c r="D14" t="s">
        <v>55</v>
      </c>
    </row>
    <row r="15" spans="1:5" x14ac:dyDescent="0.5">
      <c r="A15" s="4">
        <f>((B12/2)*20)+(((B12/2)*2100)*0.05)+(((B12/2)*2100)*0.15)</f>
        <v>19052.558883257647</v>
      </c>
      <c r="C15" s="4">
        <f>($B$3/$B$12)*12.5</f>
        <v>866.02540378443871</v>
      </c>
      <c r="D15" s="4">
        <f>A15+C15</f>
        <v>19918.584287042086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economic order quantity</vt:lpstr>
      <vt:lpstr>Sheet3</vt:lpstr>
      <vt:lpstr>Optimum Unit Order</vt:lpstr>
      <vt:lpstr>Cost Reduction based on units</vt:lpstr>
      <vt:lpstr>Sheet2</vt:lpstr>
    </vt:vector>
  </TitlesOfParts>
  <Company>Cal Poly Pomona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 L. Guyse</dc:creator>
  <cp:lastModifiedBy>Ahmad Othman</cp:lastModifiedBy>
  <dcterms:created xsi:type="dcterms:W3CDTF">2017-04-25T23:14:02Z</dcterms:created>
  <dcterms:modified xsi:type="dcterms:W3CDTF">2018-03-13T22:39:03Z</dcterms:modified>
</cp:coreProperties>
</file>