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6ddcafe3876a8b/Desktop/Data Boot Camp Class Folder/Excel Module (1)/Crowd Funding Analysis Assignment/"/>
    </mc:Choice>
  </mc:AlternateContent>
  <xr:revisionPtr revIDLastSave="747" documentId="8_{FE941B50-7CC1-41F7-B958-898D190D57A2}" xr6:coauthVersionLast="45" xr6:coauthVersionMax="45" xr10:uidLastSave="{FD5C6AC3-F346-4450-97C4-5C9955232EEC}"/>
  <bookViews>
    <workbookView xWindow="-108" yWindow="-108" windowWidth="23256" windowHeight="12576" xr2:uid="{00000000-000D-0000-FFFF-FFFF00000000}"/>
  </bookViews>
  <sheets>
    <sheet name="Kickstarter" sheetId="1" r:id="rId1"/>
    <sheet name="Theater Outcome Based On Launch" sheetId="11" r:id="rId2"/>
    <sheet name="Outcomes Based on Goals" sheetId="12" r:id="rId3"/>
    <sheet name="Category Statistics (Module)" sheetId="2" r:id="rId4"/>
    <sheet name="Subcategory Statistics (Module)" sheetId="3" r:id="rId5"/>
    <sheet name="Edinburgh Research (Module)" sheetId="5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3" i="12" l="1"/>
  <c r="H13" i="12"/>
  <c r="G12" i="12"/>
  <c r="H12" i="12"/>
  <c r="G11" i="12"/>
  <c r="H11" i="12"/>
  <c r="G10" i="12"/>
  <c r="H10" i="12"/>
  <c r="G9" i="12"/>
  <c r="H9" i="12"/>
  <c r="G8" i="12"/>
  <c r="H8" i="12"/>
  <c r="G7" i="12"/>
  <c r="H7" i="12"/>
  <c r="G6" i="12"/>
  <c r="H6" i="12"/>
  <c r="G5" i="12"/>
  <c r="H5" i="12"/>
  <c r="G4" i="12"/>
  <c r="H4" i="12"/>
  <c r="G3" i="12"/>
  <c r="H3" i="12"/>
  <c r="G2" i="12"/>
  <c r="H2" i="12"/>
  <c r="F13" i="12"/>
  <c r="F12" i="12"/>
  <c r="F11" i="12"/>
  <c r="F10" i="12"/>
  <c r="F9" i="12"/>
  <c r="F8" i="12"/>
  <c r="F7" i="12"/>
  <c r="F6" i="12"/>
  <c r="F5" i="12"/>
  <c r="F4" i="12"/>
  <c r="F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13" i="12"/>
  <c r="B3" i="12"/>
  <c r="B4" i="12"/>
  <c r="B5" i="12"/>
  <c r="B2" i="12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<sst xmlns="http://schemas.openxmlformats.org/spreadsheetml/2006/main" count="33011" uniqueCount="8404">
  <si>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</si>
  <si>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</si>
  <si>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</si>
  <si>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</si>
  <si>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</si>
  <si>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</si>
  <si>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</si>
  <si>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</si>
  <si>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</si>
  <si>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</si>
  <si>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</si>
  <si>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</si>
  <si>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</si>
  <si>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</si>
  <si>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</si>
  <si>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</si>
  <si>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</si>
  <si>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</si>
  <si>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</si>
  <si>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</si>
  <si>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</si>
  <si>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</si>
  <si>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</si>
  <si>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</si>
  <si>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</si>
  <si>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</si>
  <si>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</si>
  <si>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</si>
  <si>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</si>
  <si>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</si>
  <si>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</si>
  <si>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</si>
  <si>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</si>
  <si>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</si>
  <si>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</si>
  <si>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</si>
  <si>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</si>
  <si>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</si>
  <si>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</si>
  <si>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</si>
  <si>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</si>
  <si>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</si>
  <si>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</si>
  <si>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</si>
  <si>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</si>
  <si>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</si>
  <si>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</si>
  <si>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</si>
  <si>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</si>
  <si>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</si>
  <si>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</si>
  <si>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</si>
  <si>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</si>
  <si>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</si>
  <si>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</si>
  <si>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</si>
  <si>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</si>
  <si>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</si>
  <si>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</si>
  <si>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</si>
  <si>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</si>
  <si>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</si>
  <si>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</si>
  <si>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</si>
  <si>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</si>
  <si>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</si>
  <si>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</si>
  <si>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</si>
  <si>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</si>
  <si>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</si>
  <si>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</si>
  <si>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</si>
  <si>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</si>
  <si>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</si>
  <si>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</si>
  <si>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</si>
  <si>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</si>
  <si>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</si>
  <si>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</si>
  <si>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</si>
  <si>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</si>
  <si>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</si>
  <si>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</si>
  <si>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</si>
  <si>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</si>
  <si>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</si>
  <si>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</si>
  <si>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</si>
  <si>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</si>
  <si>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</si>
  <si>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</si>
  <si>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</si>
  <si>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</si>
  <si>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</si>
  <si>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</si>
  <si>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</si>
  <si>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</si>
  <si>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</si>
  <si>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</si>
  <si>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</si>
  <si>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</si>
  <si>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</si>
  <si>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</si>
  <si>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</si>
  <si>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</si>
  <si>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</si>
  <si>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</si>
  <si>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</si>
  <si>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</si>
  <si>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</si>
  <si>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</si>
  <si>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</si>
  <si>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</si>
  <si>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</si>
  <si>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</si>
  <si>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</si>
  <si>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</si>
  <si>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</si>
  <si>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</si>
  <si>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</si>
  <si>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</si>
  <si>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</si>
  <si>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</si>
  <si>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</si>
  <si>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</si>
  <si>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</si>
  <si>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</si>
  <si>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</si>
  <si>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</si>
  <si>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</si>
  <si>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</si>
  <si>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</si>
  <si>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</si>
  <si>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</si>
  <si>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</si>
  <si>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</si>
  <si>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</si>
  <si>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</si>
  <si>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</si>
  <si>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</si>
  <si>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</si>
  <si>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</si>
  <si>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</si>
  <si>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</si>
  <si>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</si>
  <si>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</si>
  <si>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</si>
  <si>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</si>
  <si>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</si>
  <si>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</si>
  <si>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</si>
  <si>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</si>
  <si>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</si>
  <si>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</si>
  <si>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</si>
  <si>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</si>
  <si>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</si>
  <si>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</si>
  <si>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</si>
  <si>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</si>
  <si>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</si>
  <si>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</si>
  <si>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</si>
  <si>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</si>
  <si>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</si>
  <si>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</si>
  <si>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</si>
  <si>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</si>
  <si>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</si>
  <si>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</si>
  <si>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</si>
  <si>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</si>
  <si>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</si>
  <si>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</si>
  <si>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</si>
  <si>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</si>
  <si>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</si>
  <si>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</si>
  <si>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</si>
  <si>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</si>
  <si>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</si>
  <si>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</si>
  <si>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</si>
  <si>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</si>
  <si>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</si>
  <si>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</si>
  <si>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</si>
  <si>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</si>
  <si>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</si>
  <si>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</si>
  <si>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</si>
  <si>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</si>
  <si>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</si>
  <si>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</si>
  <si>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</si>
  <si>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</si>
  <si>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</si>
  <si>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</si>
  <si>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</si>
  <si>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</si>
  <si>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</si>
  <si>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</si>
  <si>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</si>
  <si>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</si>
  <si>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</si>
  <si>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</si>
  <si>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</si>
  <si>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</si>
  <si>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</si>
  <si>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</si>
  <si>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</si>
  <si>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</si>
  <si>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</si>
  <si>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</si>
  <si>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</si>
  <si>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</si>
  <si>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</si>
  <si>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</si>
  <si>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</si>
  <si>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</si>
  <si>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</si>
  <si>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</si>
  <si>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</si>
  <si>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</si>
  <si>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</si>
  <si>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</si>
  <si>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</si>
  <si>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</si>
  <si>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</si>
  <si>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</si>
  <si>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</si>
  <si>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</si>
  <si>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</si>
  <si>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</si>
  <si>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</si>
  <si>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</si>
  <si>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</si>
  <si>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</si>
  <si>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</si>
  <si>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</si>
  <si>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</si>
  <si>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</si>
  <si>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</si>
  <si>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</si>
  <si>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</si>
  <si>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</si>
  <si>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</si>
  <si>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</si>
  <si>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</si>
  <si>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</si>
  <si>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</si>
  <si>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</si>
  <si>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</si>
  <si>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</si>
  <si>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</si>
  <si>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</si>
  <si>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</si>
  <si>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</si>
  <si>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</si>
  <si>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</si>
  <si>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</si>
  <si>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</si>
  <si>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</si>
  <si>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</si>
  <si>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</si>
  <si>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</si>
  <si>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</si>
  <si>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</si>
  <si>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</si>
  <si>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</si>
  <si>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</si>
  <si>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</si>
  <si>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</si>
  <si>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</si>
  <si>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</si>
  <si>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</si>
  <si>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</si>
  <si>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</si>
  <si>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</si>
  <si>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</si>
  <si>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</si>
  <si>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</si>
  <si>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</si>
  <si>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</si>
  <si>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</si>
  <si>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</si>
  <si>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</si>
  <si>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</si>
  <si>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</si>
  <si>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</si>
  <si>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</si>
  <si>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</si>
  <si>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</si>
  <si>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</si>
  <si>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</si>
  <si>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</si>
  <si>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</si>
  <si>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</si>
  <si>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</si>
  <si>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</si>
  <si>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</si>
  <si>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</si>
  <si>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</si>
  <si>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</si>
  <si>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</si>
  <si>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</si>
  <si>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</si>
  <si>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</si>
  <si>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</si>
  <si>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</si>
  <si>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</si>
  <si>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</si>
  <si>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</si>
  <si>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</si>
  <si>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</si>
  <si>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</si>
  <si>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</si>
  <si>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</si>
  <si>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</si>
  <si>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</si>
  <si>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</si>
  <si>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</si>
  <si>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</si>
  <si>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</si>
  <si>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</si>
  <si>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</si>
  <si>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</si>
  <si>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</si>
  <si>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</si>
  <si>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</si>
  <si>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</si>
  <si>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</si>
  <si>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</si>
  <si>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</si>
  <si>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</si>
  <si>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</si>
  <si>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</si>
  <si>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</si>
  <si>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</si>
  <si>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</si>
  <si>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</si>
  <si>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</si>
  <si>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</si>
  <si>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</si>
  <si>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</si>
  <si>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</si>
  <si>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</si>
  <si>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</si>
  <si>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</si>
  <si>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</si>
  <si>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</si>
  <si>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</si>
  <si>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</si>
  <si>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</si>
  <si>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</si>
  <si>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</si>
  <si>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</si>
  <si>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</si>
  <si>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</si>
  <si>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</si>
  <si>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</si>
  <si>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</si>
  <si>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</si>
  <si>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</si>
  <si>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</si>
  <si>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</si>
  <si>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</si>
  <si>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</si>
  <si>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</si>
  <si>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</si>
  <si>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</si>
  <si>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</si>
  <si>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</si>
  <si>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</si>
  <si>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</si>
  <si>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</si>
  <si>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</si>
  <si>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</si>
  <si>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</si>
  <si>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</si>
  <si>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</si>
  <si>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</si>
  <si>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</si>
  <si>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</si>
  <si>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</si>
  <si>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</si>
  <si>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</si>
  <si>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</si>
  <si>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</si>
  <si>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</si>
  <si>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</si>
  <si>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</si>
  <si>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</si>
  <si>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</si>
  <si>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</si>
  <si>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</si>
  <si>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</si>
  <si>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</si>
  <si>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</si>
  <si>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</si>
  <si>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</si>
  <si>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</si>
  <si>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</si>
  <si>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</si>
  <si>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</si>
  <si>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</si>
  <si>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</si>
  <si>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</si>
  <si>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</si>
  <si>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</si>
  <si>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</si>
  <si>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</si>
  <si>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</si>
  <si>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</si>
  <si>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</si>
  <si>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</si>
  <si>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</si>
  <si>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</si>
  <si>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</si>
  <si>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</si>
  <si>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</si>
  <si>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</si>
  <si>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</si>
  <si>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</si>
  <si>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</si>
  <si>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</si>
  <si>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</si>
  <si>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</si>
  <si>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</si>
  <si>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</si>
  <si>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</si>
  <si>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</si>
  <si>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</si>
  <si>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</si>
  <si>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</si>
  <si>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</si>
  <si>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</si>
  <si>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</si>
  <si>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</si>
  <si>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</si>
  <si>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</si>
  <si>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</si>
  <si>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</si>
  <si>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</si>
  <si>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</si>
  <si>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</si>
  <si>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</si>
  <si>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</si>
  <si>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</si>
  <si>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</si>
  <si>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</si>
  <si>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</si>
  <si>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</si>
  <si>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</si>
  <si>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</si>
  <si>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</si>
  <si>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</si>
  <si>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</si>
  <si>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</si>
  <si>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</si>
  <si>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</si>
  <si>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</si>
  <si>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</si>
  <si>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</si>
  <si>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</si>
  <si>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</si>
  <si>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</si>
  <si>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</si>
  <si>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</si>
  <si>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</si>
  <si>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</si>
  <si>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</si>
  <si>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</si>
  <si>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</si>
  <si>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</si>
  <si>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</si>
  <si>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</si>
  <si>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</si>
  <si>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</si>
  <si>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</si>
  <si>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</si>
  <si>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</si>
  <si>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</si>
  <si>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</si>
  <si>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</si>
  <si>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</si>
  <si>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</si>
  <si>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</si>
  <si>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</si>
  <si>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</si>
  <si>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</si>
  <si>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</si>
  <si>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</si>
  <si>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</si>
  <si>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</si>
  <si>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</si>
  <si>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</si>
  <si>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</si>
  <si>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</si>
  <si>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</si>
  <si>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</si>
  <si>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</si>
  <si>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</si>
  <si>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</si>
  <si>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</si>
  <si>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</si>
  <si>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</si>
  <si>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</si>
  <si>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</si>
  <si>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</si>
  <si>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</si>
  <si>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</si>
  <si>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</si>
  <si>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</si>
  <si>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</si>
  <si>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</si>
  <si>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</si>
  <si>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</si>
  <si>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</si>
  <si>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</si>
  <si>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</si>
  <si>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</si>
  <si>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</si>
  <si>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</si>
  <si>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</si>
  <si>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</si>
  <si>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</si>
  <si>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</si>
  <si>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</si>
  <si>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</si>
  <si>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</si>
  <si>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</si>
  <si>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</si>
  <si>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</si>
  <si>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</si>
  <si>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</si>
  <si>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</si>
  <si>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</si>
  <si>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</si>
  <si>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</si>
  <si>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</si>
  <si>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</si>
  <si>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</si>
  <si>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</si>
  <si>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</si>
  <si>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</si>
  <si>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</si>
  <si>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</si>
  <si>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</si>
  <si>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</si>
  <si>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</si>
  <si>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</si>
  <si>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</si>
  <si>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</si>
  <si>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</si>
  <si>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</si>
  <si>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</si>
  <si>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</si>
  <si>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</si>
  <si>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</si>
  <si>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</si>
  <si>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</si>
  <si>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</si>
  <si>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</si>
  <si>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</si>
  <si>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</si>
  <si>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</si>
  <si>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</si>
  <si>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</si>
  <si>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</si>
  <si>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</si>
  <si>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</si>
  <si>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</si>
  <si>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</si>
  <si>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</si>
  <si>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</si>
  <si>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</si>
  <si>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</si>
  <si>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</si>
  <si>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</si>
  <si>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</si>
  <si>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</si>
  <si>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</si>
  <si>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</si>
  <si>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</si>
  <si>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</si>
  <si>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</si>
  <si>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</si>
  <si>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</si>
  <si>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</si>
  <si>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</si>
  <si>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</si>
  <si>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</si>
  <si>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</si>
  <si>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</si>
  <si>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</si>
  <si>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</si>
  <si>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</si>
  <si>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</si>
  <si>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</si>
  <si>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</si>
  <si>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</si>
  <si>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</si>
  <si>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</si>
  <si>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</si>
  <si>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</si>
  <si>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</si>
  <si>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</si>
  <si>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</si>
  <si>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</si>
  <si>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</si>
  <si>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</si>
  <si>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</si>
  <si>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</si>
  <si>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</si>
  <si>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</si>
  <si>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</si>
  <si>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</si>
  <si>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</si>
  <si>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</si>
  <si>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</si>
  <si>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</si>
  <si>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</si>
  <si>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</si>
  <si>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</si>
  <si>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</si>
  <si>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</si>
  <si>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</si>
  <si>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</si>
  <si>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</si>
  <si>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</si>
  <si>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</si>
  <si>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</si>
  <si>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</si>
  <si>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</si>
  <si>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</si>
  <si>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</si>
  <si>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</si>
  <si>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</si>
  <si>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</si>
  <si>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</si>
  <si>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</si>
  <si>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</si>
  <si>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</si>
  <si>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</si>
  <si>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</si>
  <si>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</si>
  <si>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</si>
  <si>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</si>
  <si>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</si>
  <si>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</si>
  <si>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</si>
  <si>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</si>
  <si>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</si>
  <si>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</si>
  <si>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</si>
  <si>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</si>
  <si>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</si>
  <si>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</si>
  <si>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</si>
  <si>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</si>
  <si>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</si>
  <si>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</si>
  <si>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</si>
  <si>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</si>
  <si>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</si>
  <si>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</si>
  <si>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</si>
  <si>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</si>
  <si>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</si>
  <si>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</si>
  <si>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</si>
  <si>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</si>
  <si>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</si>
  <si>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</si>
  <si>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</si>
  <si>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</si>
  <si>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</si>
  <si>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</si>
  <si>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</si>
  <si>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</si>
  <si>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</si>
  <si>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</si>
  <si>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</si>
  <si>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</si>
  <si>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</si>
  <si>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</si>
  <si>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</si>
  <si>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</si>
  <si>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</si>
  <si>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</si>
  <si>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</si>
  <si>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</si>
  <si>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</si>
  <si>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</si>
  <si>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</si>
  <si>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</si>
  <si>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</si>
  <si>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</si>
  <si>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</si>
  <si>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</si>
  <si>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</si>
  <si>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</si>
  <si>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</si>
  <si>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</si>
  <si>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</si>
  <si>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</si>
  <si>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</si>
  <si>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</si>
  <si>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</si>
  <si>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</si>
  <si>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</si>
  <si>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</si>
  <si>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</si>
  <si>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</si>
  <si>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</si>
  <si>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</si>
  <si>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</si>
  <si>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</si>
  <si>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</si>
  <si>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</si>
  <si>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</si>
  <si>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</si>
  <si>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</si>
  <si>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</si>
  <si>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</si>
  <si>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</si>
  <si>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</si>
  <si>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</si>
  <si>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</si>
  <si>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</si>
  <si>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</si>
  <si>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</si>
  <si>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</si>
  <si>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</si>
  <si>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</si>
  <si>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</si>
  <si>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</si>
  <si>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</si>
  <si>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</si>
  <si>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</si>
  <si>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</si>
  <si>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</si>
  <si>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</si>
  <si>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</si>
  <si>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</si>
  <si>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</si>
  <si>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</si>
  <si>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</si>
  <si>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</si>
  <si>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</si>
  <si>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</si>
  <si>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</si>
  <si>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</si>
  <si>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</si>
  <si>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</si>
  <si>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</si>
  <si>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</si>
  <si>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</si>
  <si>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</si>
  <si>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</si>
  <si>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</si>
  <si>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</si>
  <si>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</si>
  <si>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</si>
  <si>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</si>
  <si>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</si>
  <si>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</si>
  <si>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</si>
  <si>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</si>
  <si>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</si>
  <si>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</si>
  <si>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</si>
  <si>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</si>
  <si>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</si>
  <si>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</si>
  <si>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</si>
  <si>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</si>
  <si>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</si>
  <si>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</si>
  <si>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</si>
  <si>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</si>
  <si>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</si>
  <si>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</si>
  <si>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</si>
  <si>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</si>
  <si>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</si>
  <si>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</si>
  <si>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</si>
  <si>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</si>
  <si>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</si>
  <si>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</si>
  <si>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</si>
  <si>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</si>
  <si>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</si>
  <si>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</si>
  <si>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</si>
  <si>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</si>
  <si>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</si>
  <si>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</si>
  <si>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</si>
  <si>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</si>
  <si>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</si>
  <si>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</si>
  <si>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</si>
  <si>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</si>
  <si>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</si>
  <si>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</si>
  <si>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</si>
  <si>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</si>
  <si>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</si>
  <si>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</si>
  <si>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</si>
  <si>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</si>
  <si>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</si>
  <si>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</si>
  <si>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</si>
  <si>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</si>
  <si>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</si>
  <si>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</si>
  <si>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</si>
  <si>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</si>
  <si>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</si>
  <si>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</si>
  <si>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</si>
  <si>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</si>
  <si>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</si>
  <si>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</si>
  <si>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</si>
  <si>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</si>
  <si>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</si>
  <si>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</si>
  <si>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</si>
  <si>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</si>
  <si>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</si>
  <si>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</si>
  <si>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</si>
  <si>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</si>
  <si>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</si>
  <si>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</si>
  <si>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</si>
  <si>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</si>
  <si>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</si>
  <si>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</si>
  <si>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</si>
  <si>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</si>
  <si>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</si>
  <si>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</si>
  <si>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</si>
  <si>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</si>
  <si>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</si>
  <si>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</si>
  <si>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</si>
  <si>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</si>
  <si>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</si>
  <si>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</si>
  <si>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</si>
  <si>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</si>
  <si>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</si>
  <si>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</si>
  <si>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</si>
  <si>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</si>
  <si>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</si>
  <si>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</si>
  <si>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</si>
  <si>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</si>
  <si>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</si>
  <si>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</si>
  <si>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</si>
  <si>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</si>
  <si>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</si>
  <si>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</si>
  <si>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</si>
  <si>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</si>
  <si>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</si>
  <si>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</si>
  <si>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</si>
  <si>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</si>
  <si>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</si>
  <si>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</si>
  <si>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</si>
  <si>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</si>
  <si>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</si>
  <si>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</si>
  <si>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</si>
  <si>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</si>
  <si>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</si>
  <si>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</si>
  <si>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</si>
  <si>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</si>
  <si>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</si>
  <si>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</si>
  <si>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</si>
  <si>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</si>
  <si>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</si>
  <si>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</si>
  <si>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</si>
  <si>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</si>
  <si>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</si>
  <si>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</si>
  <si>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</si>
  <si>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</si>
  <si>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</si>
  <si>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</si>
  <si>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</si>
  <si>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</si>
  <si>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</si>
  <si>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</si>
  <si>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</si>
  <si>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</si>
  <si>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</si>
  <si>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</si>
  <si>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</si>
  <si>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</si>
  <si>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</si>
  <si>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</si>
  <si>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</si>
  <si>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</si>
  <si>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</si>
  <si>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</si>
  <si>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</si>
  <si>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</si>
  <si>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</si>
  <si>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</si>
  <si>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</si>
  <si>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</si>
  <si>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</si>
  <si>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</si>
  <si>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</si>
  <si>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</si>
  <si>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</si>
  <si>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</si>
  <si>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</si>
  <si>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</si>
  <si>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</si>
  <si>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</si>
  <si>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</si>
  <si>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</si>
  <si>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</si>
  <si>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</si>
  <si>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</si>
  <si>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</si>
  <si>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</si>
  <si>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</si>
  <si>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</si>
  <si>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</si>
  <si>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</si>
  <si>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</si>
  <si>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</si>
  <si>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</si>
  <si>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</si>
  <si>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</si>
  <si>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</si>
  <si>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</si>
  <si>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</si>
  <si>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</si>
  <si>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</si>
  <si>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</si>
  <si>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</si>
  <si>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</si>
  <si>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</si>
  <si>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</si>
  <si>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</si>
  <si>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</si>
  <si>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</si>
  <si>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</si>
  <si>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</si>
  <si>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</si>
  <si>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</si>
  <si>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</si>
  <si>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</si>
  <si>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</si>
  <si>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</si>
  <si>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</si>
  <si>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</si>
  <si>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</si>
  <si>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</si>
  <si>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</si>
  <si>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</si>
  <si>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</si>
  <si>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</si>
  <si>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</si>
  <si>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</si>
  <si>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</si>
  <si>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</si>
  <si>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</si>
  <si>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</si>
  <si>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</si>
  <si>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</si>
  <si>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</si>
  <si>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</si>
  <si>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</si>
  <si>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</si>
  <si>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</si>
  <si>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</si>
  <si>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</si>
  <si>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</si>
  <si>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</si>
  <si>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</si>
  <si>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</si>
  <si>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</si>
  <si>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</si>
  <si>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</si>
  <si>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</si>
  <si>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</si>
  <si>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</si>
  <si>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</si>
  <si>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</si>
  <si>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</si>
  <si>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</si>
  <si>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</si>
  <si>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</si>
  <si>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</si>
  <si>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</si>
  <si>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</si>
  <si>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</si>
  <si>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</si>
  <si>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</si>
  <si>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</si>
  <si>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</si>
  <si>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</si>
  <si>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</si>
  <si>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</si>
  <si>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</si>
  <si>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</si>
  <si>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</si>
  <si>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</si>
  <si>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</si>
  <si>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</si>
  <si>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</si>
  <si>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</si>
  <si>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</si>
  <si>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</si>
  <si>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</si>
  <si>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</si>
  <si>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</si>
  <si>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</si>
  <si>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</si>
  <si>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</si>
  <si>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</si>
  <si>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</si>
  <si>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</si>
  <si>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</si>
  <si>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</si>
  <si>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</si>
  <si>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</si>
  <si>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</si>
  <si>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</si>
  <si>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</si>
  <si>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</si>
  <si>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</si>
  <si>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</si>
  <si>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</si>
  <si>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</si>
  <si>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</si>
  <si>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</si>
  <si>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</si>
  <si>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</si>
  <si>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</si>
  <si>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</si>
  <si>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</si>
  <si>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</si>
  <si>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</si>
  <si>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</si>
  <si>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</si>
  <si>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</si>
  <si>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</si>
  <si>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</si>
  <si>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</si>
  <si>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</si>
  <si>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</si>
  <si>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</si>
  <si>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</si>
  <si>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</si>
  <si>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</si>
  <si>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</si>
  <si>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</si>
  <si>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</si>
  <si>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</si>
  <si>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</si>
  <si>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</si>
  <si>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</si>
  <si>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</si>
  <si>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</si>
  <si>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</si>
  <si>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</si>
  <si>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</si>
  <si>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</si>
  <si>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</si>
  <si>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</si>
  <si>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</si>
  <si>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</si>
  <si>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</si>
  <si>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</si>
  <si>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</si>
  <si>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</si>
  <si>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</si>
  <si>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</si>
  <si>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</si>
  <si>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</si>
  <si>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</si>
  <si>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</si>
  <si>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</si>
  <si>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</si>
  <si>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</si>
  <si>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</si>
  <si>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</si>
  <si>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</si>
  <si>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</si>
  <si>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</si>
  <si>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</si>
  <si>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</si>
  <si>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</si>
  <si>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</si>
  <si>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</si>
  <si>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</si>
  <si>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</si>
  <si>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</si>
  <si>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</si>
  <si>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</si>
  <si>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</si>
  <si>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</si>
  <si>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</si>
  <si>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</si>
  <si>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</si>
  <si>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</si>
  <si>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</si>
  <si>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</si>
  <si>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</si>
  <si>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</si>
  <si>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</si>
  <si>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</si>
  <si>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</si>
  <si>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</si>
  <si>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</si>
  <si>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</si>
  <si>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</si>
  <si>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</si>
  <si>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</si>
  <si>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</si>
  <si>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</si>
  <si>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</si>
  <si>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</si>
  <si>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</si>
  <si>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</si>
  <si>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</si>
  <si>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</si>
  <si>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</si>
  <si>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</si>
  <si>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</si>
  <si>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</si>
  <si>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</si>
  <si>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</si>
  <si>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</si>
  <si>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</si>
  <si>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</si>
  <si>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</si>
  <si>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</si>
  <si>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</si>
  <si>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</si>
  <si>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</si>
  <si>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</si>
  <si>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</si>
  <si>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</si>
  <si>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</si>
  <si>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</si>
  <si>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</si>
  <si>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</si>
  <si>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</si>
  <si>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</si>
  <si>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</si>
  <si>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</si>
  <si>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</si>
  <si>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</si>
  <si>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</si>
  <si>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</si>
  <si>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</si>
  <si>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</si>
  <si>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</si>
  <si>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</si>
  <si>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</si>
  <si>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</si>
  <si>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</si>
  <si>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</si>
  <si>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</si>
  <si>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</si>
  <si>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</si>
  <si>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</si>
  <si>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</si>
  <si>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</si>
  <si>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</si>
  <si>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</si>
  <si>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</si>
  <si>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</si>
  <si>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</si>
  <si>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</si>
  <si>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</si>
  <si>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</si>
  <si>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</si>
  <si>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</si>
  <si>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</si>
  <si>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</si>
  <si>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</si>
  <si>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</si>
  <si>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</si>
  <si>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</si>
  <si>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</si>
  <si>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</si>
  <si>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</si>
  <si>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</si>
  <si>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</si>
  <si>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</si>
  <si>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</si>
  <si>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</si>
  <si>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</si>
  <si>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</si>
  <si>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</si>
  <si>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</si>
  <si>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</si>
  <si>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</si>
  <si>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</si>
  <si>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</si>
  <si>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</si>
  <si>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</si>
  <si>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</si>
  <si>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</si>
  <si>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</si>
  <si>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</si>
  <si>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</si>
  <si>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</si>
  <si>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</si>
  <si>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</si>
  <si>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</si>
  <si>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</si>
  <si>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</si>
  <si>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</si>
  <si>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</si>
  <si>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</si>
  <si>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</si>
  <si>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</si>
  <si>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</si>
  <si>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</si>
  <si>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</si>
  <si>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</si>
  <si>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</si>
  <si>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</si>
  <si>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</si>
  <si>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</si>
  <si>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</si>
  <si>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</si>
  <si>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</si>
  <si>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</si>
  <si>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</si>
  <si>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</si>
  <si>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</si>
  <si>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</si>
  <si>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</si>
  <si>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</si>
  <si>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</si>
  <si>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</si>
  <si>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</si>
  <si>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</si>
  <si>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</si>
  <si>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</si>
  <si>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</si>
  <si>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</si>
  <si>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</si>
  <si>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</si>
  <si>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</si>
  <si>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</si>
  <si>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</si>
  <si>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</si>
  <si>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</si>
  <si>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</si>
  <si>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</si>
  <si>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</si>
  <si>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</si>
  <si>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</si>
  <si>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</si>
  <si>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</si>
  <si>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</si>
  <si>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</si>
  <si>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</si>
  <si>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</si>
  <si>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</si>
  <si>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</si>
  <si>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</si>
  <si>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</si>
  <si>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</si>
  <si>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</si>
  <si>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</si>
  <si>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</si>
  <si>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</si>
  <si>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</si>
  <si>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</si>
  <si>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</si>
  <si>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</si>
  <si>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</si>
  <si>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</si>
  <si>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</si>
  <si>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</si>
  <si>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</si>
  <si>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</si>
  <si>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</si>
  <si>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</si>
  <si>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</si>
  <si>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</si>
  <si>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</si>
  <si>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</si>
  <si>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</si>
  <si>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</si>
  <si>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</si>
  <si>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</si>
  <si>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</si>
  <si>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</si>
  <si>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</si>
  <si>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</si>
  <si>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</si>
  <si>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</si>
  <si>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</si>
  <si>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</si>
  <si>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</si>
  <si>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</si>
  <si>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</si>
  <si>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</si>
  <si>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</si>
  <si>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</si>
  <si>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</si>
  <si>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</si>
  <si>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</si>
  <si>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</si>
  <si>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</si>
  <si>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</si>
  <si>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</si>
  <si>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</si>
  <si>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</si>
  <si>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</si>
  <si>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</si>
  <si>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</si>
  <si>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</si>
  <si>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</si>
  <si>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</si>
  <si>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</si>
  <si>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</si>
  <si>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</si>
  <si>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</si>
  <si>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</si>
  <si>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</si>
  <si>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</si>
  <si>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</si>
  <si>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</si>
  <si>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</si>
  <si>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</si>
  <si>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</si>
  <si>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</si>
  <si>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</si>
  <si>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</si>
  <si>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</si>
  <si>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</si>
  <si>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</si>
  <si>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</si>
  <si>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</si>
  <si>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</si>
  <si>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</si>
  <si>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</si>
  <si>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</si>
  <si>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</si>
  <si>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</si>
  <si>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</si>
  <si>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</si>
  <si>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</si>
  <si>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</si>
  <si>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</si>
  <si>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</si>
  <si>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</si>
  <si>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</si>
  <si>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</si>
  <si>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</si>
  <si>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</si>
  <si>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</si>
  <si>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</si>
  <si>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</si>
  <si>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</si>
  <si>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</si>
  <si>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</si>
  <si>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</si>
  <si>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</si>
  <si>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</si>
  <si>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</si>
  <si>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</si>
  <si>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</si>
  <si>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</si>
  <si>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</si>
  <si>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</si>
  <si>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</si>
  <si>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</si>
  <si>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</si>
  <si>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</si>
  <si>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</si>
  <si>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</si>
  <si>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</si>
  <si>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</si>
  <si>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</si>
  <si>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</si>
  <si>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</si>
  <si>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</si>
  <si>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</si>
  <si>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</si>
  <si>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</si>
  <si>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</si>
  <si>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</si>
  <si>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</si>
  <si>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</si>
  <si>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</si>
  <si>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</si>
  <si>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</si>
  <si>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</si>
  <si>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</si>
  <si>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</si>
  <si>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</si>
  <si>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</si>
  <si>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</si>
  <si>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</si>
  <si>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</si>
  <si>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</si>
  <si>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</si>
  <si>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</si>
  <si>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</si>
  <si>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</si>
  <si>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</si>
  <si>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</si>
  <si>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</si>
  <si>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</si>
  <si>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</si>
  <si>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</si>
  <si>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</si>
  <si>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</si>
  <si>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</si>
  <si>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</si>
  <si>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</si>
  <si>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</si>
  <si>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</si>
  <si>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</si>
  <si>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</si>
  <si>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</si>
  <si>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</si>
  <si>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</si>
  <si>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</si>
  <si>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</si>
  <si>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</si>
  <si>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</si>
  <si>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</si>
  <si>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</si>
  <si>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</si>
  <si>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</si>
  <si>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</si>
  <si>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</si>
  <si>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</si>
  <si>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</si>
  <si>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</si>
  <si>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</si>
  <si>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</si>
  <si>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</si>
  <si>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</si>
  <si>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</si>
  <si>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</si>
  <si>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</si>
  <si>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</si>
  <si>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</si>
  <si>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</si>
  <si>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</si>
  <si>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</si>
  <si>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</si>
  <si>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</si>
  <si>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</si>
  <si>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</si>
  <si>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</si>
  <si>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</si>
  <si>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</si>
  <si>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</si>
  <si>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</si>
  <si>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</si>
  <si>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</si>
  <si>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</si>
  <si>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</si>
  <si>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</si>
  <si>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</si>
  <si>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</si>
  <si>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</si>
  <si>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</si>
  <si>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</si>
  <si>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</si>
  <si>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</si>
  <si>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</si>
  <si>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</si>
  <si>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</si>
  <si>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</si>
  <si>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</si>
  <si>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</si>
  <si>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</si>
  <si>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</si>
  <si>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</si>
  <si>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</si>
  <si>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</si>
  <si>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</si>
  <si>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</si>
  <si>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</si>
  <si>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</si>
  <si>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</si>
  <si>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</si>
  <si>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</si>
  <si>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</si>
  <si>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</si>
  <si>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</si>
  <si>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</si>
  <si>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</si>
  <si>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</si>
  <si>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</si>
  <si>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</si>
  <si>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</si>
  <si>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</si>
  <si>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</si>
  <si>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</si>
  <si>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</si>
  <si>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</si>
  <si>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</si>
  <si>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</si>
  <si>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</si>
  <si>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</si>
  <si>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</si>
  <si>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</si>
  <si>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</si>
  <si>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</si>
  <si>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</si>
  <si>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</si>
  <si>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</si>
  <si>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</si>
  <si>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</si>
  <si>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</si>
  <si>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</si>
  <si>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</si>
  <si>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</si>
  <si>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</si>
  <si>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</si>
  <si>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</si>
  <si>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</si>
  <si>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</si>
  <si>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</si>
  <si>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</si>
  <si>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</si>
  <si>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</si>
  <si>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</si>
  <si>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</si>
  <si>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</si>
  <si>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</si>
  <si>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</si>
  <si>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</si>
  <si>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</si>
  <si>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</si>
  <si>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</si>
  <si>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</si>
  <si>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</si>
  <si>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</si>
  <si>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</si>
  <si>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</si>
  <si>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</si>
  <si>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</si>
  <si>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</si>
  <si>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</si>
  <si>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</si>
  <si>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</si>
  <si>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</si>
  <si>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</si>
  <si>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</si>
  <si>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</si>
  <si>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</si>
  <si>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</si>
  <si>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</si>
  <si>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</si>
  <si>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</si>
  <si>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</si>
  <si>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</si>
  <si>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</si>
  <si>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</si>
  <si>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</si>
  <si>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</si>
  <si>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</si>
  <si>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</si>
  <si>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</si>
  <si>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</si>
  <si>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</si>
  <si>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</si>
  <si>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</si>
  <si>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</si>
  <si>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</si>
  <si>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</si>
  <si>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</si>
  <si>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</si>
  <si>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</si>
  <si>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</si>
  <si>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</si>
  <si>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</si>
  <si>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</si>
  <si>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</si>
  <si>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</si>
  <si>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</si>
  <si>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</si>
  <si>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</si>
  <si>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</si>
  <si>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</si>
  <si>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</si>
  <si>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</si>
  <si>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</si>
  <si>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</si>
  <si>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</si>
  <si>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</si>
  <si>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</si>
  <si>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</si>
  <si>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</si>
  <si>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</si>
  <si>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</si>
  <si>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</si>
  <si>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</si>
  <si>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</si>
  <si>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</si>
  <si>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</si>
  <si>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</si>
  <si>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</si>
  <si>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</si>
  <si>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</si>
  <si>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</si>
  <si>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</si>
  <si>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</si>
  <si>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</si>
  <si>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</si>
  <si>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</si>
  <si>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</si>
  <si>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</si>
  <si>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</si>
  <si>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</si>
  <si>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</si>
  <si>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</si>
  <si>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</si>
  <si>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</si>
  <si>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</si>
  <si>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</si>
  <si>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</si>
  <si>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</si>
  <si>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</si>
  <si>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</si>
  <si>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</si>
  <si>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</si>
  <si>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</si>
  <si>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</si>
  <si>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</si>
  <si>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</si>
  <si>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</si>
  <si>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</si>
  <si>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</si>
  <si>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</si>
  <si>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</si>
  <si>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</si>
  <si>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</si>
  <si>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</si>
  <si>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</si>
  <si>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</si>
  <si>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</si>
  <si>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</si>
  <si>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</si>
  <si>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</si>
  <si>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</si>
  <si>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</si>
  <si>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</si>
  <si>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</si>
  <si>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</si>
  <si>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</si>
  <si>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</si>
  <si>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</si>
  <si>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</si>
  <si>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</si>
  <si>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</si>
  <si>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</si>
  <si>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</si>
  <si>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</si>
  <si>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</si>
  <si>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</si>
  <si>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</si>
  <si>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</si>
  <si>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</si>
  <si>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</si>
  <si>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</si>
  <si>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</si>
  <si>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</si>
  <si>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</si>
  <si>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</si>
  <si>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</si>
  <si>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</si>
  <si>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</si>
  <si>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</si>
  <si>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</si>
  <si>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</si>
  <si>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</si>
  <si>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</si>
  <si>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</si>
  <si>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</si>
  <si>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</si>
  <si>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</si>
  <si>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</si>
  <si>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</si>
  <si>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</si>
  <si>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</si>
  <si>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</si>
  <si>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</si>
  <si>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</si>
  <si>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</si>
  <si>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</si>
  <si>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</si>
  <si>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</si>
  <si>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</si>
  <si>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</si>
  <si>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</si>
  <si>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</si>
  <si>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</si>
  <si>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</si>
  <si>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</si>
  <si>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</si>
  <si>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</si>
  <si>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</si>
  <si>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</si>
  <si>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</si>
  <si>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</si>
  <si>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</si>
  <si>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</si>
  <si>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</si>
  <si>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</si>
  <si>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</si>
  <si>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</si>
  <si>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</si>
  <si>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</si>
  <si>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</si>
  <si>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</si>
  <si>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</si>
  <si>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</si>
  <si>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</si>
  <si>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</si>
  <si>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</si>
  <si>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</si>
  <si>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</si>
  <si>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</si>
  <si>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</si>
  <si>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</si>
  <si>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</si>
  <si>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</si>
  <si>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</si>
  <si>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</si>
  <si>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</si>
  <si>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</si>
  <si>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</si>
  <si>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</si>
  <si>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</si>
  <si>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</si>
  <si>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</si>
  <si>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</si>
  <si>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</si>
  <si>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</si>
  <si>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</si>
  <si>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</si>
  <si>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</si>
  <si>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</si>
  <si>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</si>
  <si>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</si>
  <si>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</si>
  <si>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</si>
  <si>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</si>
  <si>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</si>
  <si>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</si>
  <si>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</si>
  <si>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</si>
  <si>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</si>
  <si>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</si>
  <si>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</si>
  <si>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</si>
  <si>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</si>
  <si>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</si>
  <si>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</si>
  <si>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</si>
  <si>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</si>
  <si>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</si>
  <si>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</si>
  <si>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</si>
  <si>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</si>
  <si>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</si>
  <si>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</si>
  <si>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</si>
  <si>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</si>
  <si>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</si>
  <si>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</si>
  <si>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</si>
  <si>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</si>
  <si>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</si>
  <si>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</si>
  <si>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</si>
  <si>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</si>
  <si>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</si>
  <si>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</si>
  <si>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</si>
  <si>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</si>
  <si>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</si>
  <si>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</si>
  <si>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</si>
  <si>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</si>
  <si>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</si>
  <si>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</si>
  <si>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</si>
  <si>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</si>
  <si>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</si>
  <si>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</si>
  <si>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</si>
  <si>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</si>
  <si>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</si>
  <si>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</si>
  <si>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</si>
  <si>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</si>
  <si>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</si>
  <si>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</si>
  <si>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</si>
  <si>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</si>
  <si>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</si>
  <si>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</si>
  <si>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</si>
  <si>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</si>
  <si>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</si>
  <si>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</si>
  <si>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</si>
  <si>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</si>
  <si>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</si>
  <si>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</si>
  <si>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</si>
  <si>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</si>
  <si>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</si>
  <si>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</si>
  <si>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</si>
  <si>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</si>
  <si>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</si>
  <si>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</si>
  <si>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</si>
  <si>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</si>
  <si>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</si>
  <si>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</si>
  <si>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</si>
  <si>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</si>
  <si>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</si>
  <si>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</si>
  <si>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</si>
  <si>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</si>
  <si>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</si>
  <si>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</si>
  <si>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</si>
  <si>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</si>
  <si>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</si>
  <si>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</si>
  <si>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</si>
  <si>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</si>
  <si>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</si>
  <si>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</si>
  <si>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</si>
  <si>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</si>
  <si>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</si>
  <si>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</si>
  <si>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</si>
  <si>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</si>
  <si>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</si>
  <si>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</si>
  <si>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</si>
  <si>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</si>
  <si>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</si>
  <si>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</si>
  <si>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</si>
  <si>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</si>
  <si>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</si>
  <si>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</si>
  <si>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</si>
  <si>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</si>
  <si>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</si>
  <si>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</si>
  <si>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</si>
  <si>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</si>
  <si>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</si>
  <si>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</si>
  <si>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</si>
  <si>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</si>
  <si>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</si>
  <si>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</si>
  <si>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</si>
  <si>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</si>
  <si>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</si>
  <si>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</si>
  <si>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</si>
  <si>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</si>
  <si>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</si>
  <si>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</si>
  <si>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</si>
  <si>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</si>
  <si>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</si>
  <si>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</si>
  <si>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</si>
  <si>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</si>
  <si>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</si>
  <si>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</si>
  <si>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</si>
  <si>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</si>
  <si>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</si>
  <si>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</si>
  <si>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</si>
  <si>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</si>
  <si>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</si>
  <si>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</si>
  <si>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</si>
  <si>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</si>
  <si>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</si>
  <si>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</si>
  <si>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</si>
  <si>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</si>
  <si>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</si>
  <si>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</si>
  <si>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</si>
  <si>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</si>
  <si>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</si>
  <si>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</si>
  <si>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</si>
  <si>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</si>
  <si>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</si>
  <si>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</si>
  <si>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</si>
  <si>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</si>
  <si>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</si>
  <si>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</si>
  <si>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</si>
  <si>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</si>
  <si>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</si>
  <si>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</si>
  <si>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</si>
  <si>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</si>
  <si>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</si>
  <si>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</si>
  <si>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</si>
  <si>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</si>
  <si>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</si>
  <si>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</si>
  <si>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</si>
  <si>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</si>
  <si>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</si>
  <si>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</si>
  <si>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</si>
  <si>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</si>
  <si>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</si>
  <si>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</si>
  <si>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</si>
  <si>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</si>
  <si>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</si>
  <si>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</si>
  <si>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</si>
  <si>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</si>
  <si>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</si>
  <si>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</si>
  <si>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</si>
  <si>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</si>
  <si>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</si>
  <si>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</si>
  <si>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</si>
  <si>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</si>
  <si>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</si>
  <si>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</si>
  <si>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</si>
  <si>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</si>
  <si>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</si>
  <si>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</si>
  <si>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</si>
  <si>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</si>
  <si>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</si>
  <si>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</si>
  <si>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</si>
  <si>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</si>
  <si>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</si>
  <si>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</si>
  <si>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</si>
  <si>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</si>
  <si>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</si>
  <si>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</si>
  <si>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</si>
  <si>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</si>
  <si>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</si>
  <si>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</si>
  <si>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</si>
  <si>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</si>
  <si>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</si>
  <si>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</si>
  <si>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</si>
  <si>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</si>
  <si>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</si>
  <si>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</si>
  <si>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</si>
  <si>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</si>
  <si>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</si>
  <si>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</si>
  <si>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</si>
  <si>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</si>
  <si>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</si>
  <si>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</si>
  <si>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</si>
  <si>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</si>
  <si>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</si>
  <si>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</si>
  <si>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</si>
  <si>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</si>
  <si>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</si>
  <si>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</si>
  <si>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</si>
  <si>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</si>
  <si>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</si>
  <si>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</si>
  <si>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</si>
  <si>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</si>
  <si>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</si>
  <si>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</si>
  <si>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</si>
  <si>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</si>
  <si>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</si>
  <si>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</si>
  <si>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</si>
  <si>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</si>
  <si>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</si>
  <si>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</si>
  <si>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</si>
  <si>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</si>
  <si>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</si>
  <si>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</si>
  <si>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</si>
  <si>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</si>
  <si>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</si>
  <si>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</si>
  <si>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</si>
  <si>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</si>
  <si>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</si>
  <si>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</si>
  <si>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</si>
  <si>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</si>
  <si>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</si>
  <si>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</si>
  <si>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</si>
  <si>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</si>
  <si>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</si>
  <si>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</si>
  <si>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</si>
  <si>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</si>
  <si>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</si>
  <si>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</si>
  <si>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</si>
  <si>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</si>
  <si>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</si>
  <si>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</si>
  <si>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</si>
  <si>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</si>
  <si>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</si>
  <si>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</si>
  <si>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</si>
  <si>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</si>
  <si>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</si>
  <si>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</si>
  <si>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</si>
  <si>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</si>
  <si>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</si>
  <si>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</si>
  <si>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</si>
  <si>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</si>
  <si>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</si>
  <si>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</si>
  <si>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</si>
  <si>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</si>
  <si>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</si>
  <si>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</si>
  <si>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</si>
  <si>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</si>
  <si>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</si>
  <si>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</si>
  <si>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</si>
  <si>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</si>
  <si>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</si>
  <si>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</si>
  <si>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</si>
  <si>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</si>
  <si>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</si>
  <si>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</si>
  <si>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</si>
  <si>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</si>
  <si>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</si>
  <si>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</si>
  <si>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</si>
  <si>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</si>
  <si>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</si>
  <si>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</si>
  <si>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</si>
  <si>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</si>
  <si>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</si>
  <si>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</si>
  <si>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</si>
  <si>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</si>
  <si>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</si>
  <si>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</si>
  <si>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</si>
  <si>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</si>
  <si>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</si>
  <si>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</si>
  <si>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</si>
  <si>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</si>
  <si>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</si>
  <si>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</si>
  <si>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</si>
  <si>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</si>
  <si>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</si>
  <si>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</si>
  <si>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</si>
  <si>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</si>
  <si>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</si>
  <si>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</si>
  <si>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</si>
  <si>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</si>
  <si>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</si>
  <si>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</si>
  <si>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</si>
  <si>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</si>
  <si>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</si>
  <si>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</si>
  <si>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</si>
  <si>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</si>
  <si>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</si>
  <si>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</si>
  <si>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</si>
  <si>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</si>
  <si>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</si>
  <si>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</si>
  <si>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</si>
  <si>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</si>
  <si>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</si>
  <si>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</si>
  <si>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</si>
  <si>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</si>
  <si>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</si>
  <si>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</si>
  <si>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</si>
  <si>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</si>
  <si>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</si>
  <si>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</si>
  <si>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</si>
  <si>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</si>
  <si>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</si>
  <si>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</si>
  <si>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</si>
  <si>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</si>
  <si>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</si>
  <si>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</si>
  <si>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</si>
  <si>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</si>
  <si>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</si>
  <si>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</si>
  <si>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</si>
  <si>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</si>
  <si>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</si>
  <si>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</si>
  <si>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</si>
  <si>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</si>
  <si>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</si>
  <si>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</si>
  <si>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</si>
  <si>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</si>
  <si>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</si>
  <si>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</si>
  <si>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</si>
  <si>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</si>
  <si>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</si>
  <si>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</si>
  <si>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</si>
  <si>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</si>
  <si>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</si>
  <si>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</si>
  <si>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</si>
  <si>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</si>
  <si>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</si>
  <si>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</si>
  <si>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</si>
  <si>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</si>
  <si>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</si>
  <si>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</si>
  <si>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</si>
  <si>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</si>
  <si>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</si>
  <si>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</si>
  <si>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</si>
  <si>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</si>
  <si>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</si>
  <si>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</si>
  <si>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</si>
  <si>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</si>
  <si>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</si>
  <si>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</si>
  <si>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</si>
  <si>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</si>
  <si>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</si>
  <si>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</si>
  <si>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</si>
  <si>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</si>
  <si>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</si>
  <si>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</si>
  <si>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</si>
  <si>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</si>
  <si>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</si>
  <si>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</si>
  <si>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</si>
  <si>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</si>
  <si>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</si>
  <si>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</si>
  <si>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</si>
  <si>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</si>
  <si>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</si>
  <si>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</si>
  <si>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</si>
  <si>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</si>
  <si>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</si>
  <si>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</si>
  <si>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</si>
  <si>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</si>
  <si>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</si>
  <si>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</si>
  <si>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</si>
  <si>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</si>
  <si>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</si>
  <si>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</si>
  <si>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</si>
  <si>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</si>
  <si>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</si>
  <si>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</si>
  <si>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</si>
  <si>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</si>
  <si>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</si>
  <si>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</si>
  <si>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</si>
  <si>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</si>
  <si>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</si>
  <si>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</si>
  <si>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</si>
  <si>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</si>
  <si>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</si>
  <si>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</si>
  <si>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</si>
  <si>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</si>
  <si>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</si>
  <si>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</si>
  <si>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</si>
  <si>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</si>
  <si>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</si>
  <si>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</si>
  <si>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</si>
  <si>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</si>
  <si>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</si>
  <si>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</si>
  <si>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</si>
  <si>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</si>
  <si>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</si>
  <si>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</si>
  <si>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</si>
  <si>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</si>
  <si>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</si>
  <si>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</si>
  <si>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</si>
  <si>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</si>
  <si>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</si>
  <si>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</si>
  <si>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</si>
  <si>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</si>
  <si>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</si>
  <si>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</si>
  <si>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</si>
  <si>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</si>
  <si>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</si>
  <si>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</si>
  <si>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</si>
  <si>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</si>
  <si>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</si>
  <si>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</si>
  <si>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</si>
  <si>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</si>
  <si>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</si>
  <si>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</si>
  <si>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</si>
  <si>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</si>
  <si>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</si>
  <si>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</si>
  <si>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</si>
  <si>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</si>
  <si>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</si>
  <si>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</si>
  <si>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</si>
  <si>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</si>
  <si>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</si>
  <si>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</si>
  <si>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</si>
  <si>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</si>
  <si>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</si>
  <si>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</si>
  <si>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</si>
  <si>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</si>
  <si>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</si>
  <si>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</si>
  <si>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</si>
  <si>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</si>
  <si>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</si>
  <si>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</si>
  <si>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</si>
  <si>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</si>
  <si>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</si>
  <si>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</si>
  <si>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</si>
  <si>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</si>
  <si>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</si>
  <si>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</si>
  <si>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</si>
  <si>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</si>
  <si>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</si>
  <si>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</si>
  <si>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</si>
  <si>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</si>
  <si>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</si>
  <si>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</si>
  <si>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</si>
  <si>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</si>
  <si>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</si>
  <si>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</si>
  <si>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</si>
  <si>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</si>
  <si>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</si>
  <si>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</si>
  <si>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</si>
  <si>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</si>
  <si>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</si>
  <si>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</si>
  <si>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</si>
  <si>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</si>
  <si>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</si>
  <si>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</si>
  <si>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</si>
  <si>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</si>
  <si>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</si>
  <si>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</si>
  <si>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</si>
  <si>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</si>
  <si>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</si>
  <si>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</si>
  <si>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</si>
  <si>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</si>
  <si>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</si>
  <si>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</si>
  <si>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</si>
  <si>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</si>
  <si>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</si>
  <si>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</si>
  <si>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</si>
  <si>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</si>
  <si>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</si>
  <si>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</si>
  <si>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</si>
  <si>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</si>
  <si>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</si>
  <si>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</si>
  <si>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</si>
  <si>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</si>
  <si>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</si>
  <si>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</si>
  <si>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</si>
  <si>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</si>
  <si>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</si>
  <si>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</si>
  <si>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</si>
  <si>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</si>
  <si>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</si>
  <si>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</si>
  <si>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</si>
  <si>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</si>
  <si>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</si>
  <si>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</si>
  <si>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</si>
  <si>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</si>
  <si>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</si>
  <si>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</si>
  <si>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</si>
  <si>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</si>
  <si>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</si>
  <si>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</si>
  <si>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</si>
  <si>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</si>
  <si>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</si>
  <si>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</si>
  <si>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</si>
  <si>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</si>
  <si>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</si>
  <si>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</si>
  <si>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</si>
  <si>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</si>
  <si>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</si>
  <si>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</si>
  <si>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</si>
  <si>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</si>
  <si>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</si>
  <si>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</si>
  <si>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</si>
  <si>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</si>
  <si>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</si>
  <si>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</si>
  <si>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</si>
  <si>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</si>
  <si>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</si>
  <si>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</si>
  <si>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</si>
  <si>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</si>
  <si>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</si>
  <si>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</si>
  <si>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</si>
  <si>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</si>
  <si>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</si>
  <si>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</si>
  <si>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</si>
  <si>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</si>
  <si>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</si>
  <si>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</si>
  <si>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</si>
  <si>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</si>
  <si>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</si>
  <si>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</si>
  <si>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</si>
  <si>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</si>
  <si>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</si>
  <si>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</si>
  <si>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</si>
  <si>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</si>
  <si>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</si>
  <si>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</si>
  <si>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</si>
  <si>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</si>
  <si>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</si>
  <si>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</si>
  <si>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</si>
  <si>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</si>
  <si>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</si>
  <si>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</si>
  <si>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</si>
  <si>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</si>
  <si>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</si>
  <si>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</si>
  <si>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</si>
  <si>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</si>
  <si>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</si>
  <si>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</si>
  <si>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</si>
  <si>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</si>
  <si>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</si>
  <si>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</si>
  <si>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</si>
  <si>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</si>
  <si>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</si>
  <si>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</si>
  <si>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</si>
  <si>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</si>
  <si>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</si>
  <si>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</si>
  <si>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</si>
  <si>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</si>
  <si>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</si>
  <si>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</si>
  <si>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</si>
  <si>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</si>
  <si>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</si>
  <si>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</si>
  <si>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</si>
  <si>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</si>
  <si>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</si>
  <si>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</si>
  <si>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</si>
  <si>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</si>
  <si>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</si>
  <si>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</si>
  <si>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</si>
  <si>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</si>
  <si>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</si>
  <si>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</si>
  <si>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</si>
  <si>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</si>
  <si>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</si>
  <si>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</si>
  <si>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</si>
  <si>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</si>
  <si>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</si>
  <si>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</si>
  <si>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</si>
  <si>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</si>
  <si>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</si>
  <si>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</si>
  <si>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</si>
  <si>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</si>
  <si>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</si>
  <si>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</si>
  <si>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</si>
  <si>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</si>
  <si>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</si>
  <si>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</si>
  <si>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</si>
  <si>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</si>
  <si>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</si>
  <si>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</si>
  <si>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</si>
  <si>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</si>
  <si>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</si>
  <si>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</si>
  <si>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</si>
  <si>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</si>
  <si>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</si>
  <si>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</si>
  <si>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</si>
  <si>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</si>
  <si>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</si>
  <si>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</si>
  <si>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</si>
  <si>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</si>
  <si>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</si>
  <si>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</si>
  <si>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</si>
  <si>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</si>
  <si>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</si>
  <si>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</si>
  <si>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</si>
  <si>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</si>
  <si>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</si>
  <si>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</si>
  <si>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</si>
  <si>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</si>
  <si>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</si>
  <si>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</si>
  <si>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</si>
  <si>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</si>
  <si>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</si>
  <si>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</si>
  <si>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</si>
  <si>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</si>
  <si>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</si>
  <si>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</si>
  <si>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</si>
  <si>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</si>
  <si>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</si>
  <si>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</si>
  <si>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</si>
  <si>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</si>
  <si>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</si>
  <si>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</si>
  <si>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</si>
  <si>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</si>
  <si>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</si>
  <si>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</si>
  <si>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</si>
  <si>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</si>
  <si>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</si>
  <si>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</si>
  <si>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</si>
  <si>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</si>
  <si>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</si>
  <si>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</si>
  <si>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</si>
  <si>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</si>
  <si>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</si>
  <si>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</si>
  <si>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</si>
  <si>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</si>
  <si>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</si>
  <si>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</si>
  <si>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</si>
  <si>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</si>
  <si>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</si>
  <si>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</si>
  <si>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</si>
  <si>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</si>
  <si>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</si>
  <si>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</si>
  <si>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</si>
  <si>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</si>
  <si>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</si>
  <si>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</si>
  <si>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</si>
  <si>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</si>
  <si>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</si>
  <si>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</si>
  <si>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</si>
  <si>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</si>
  <si>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</si>
  <si>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</si>
  <si>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</si>
  <si>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</si>
  <si>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</si>
  <si>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</si>
  <si>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</si>
  <si>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</si>
  <si>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</si>
  <si>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</si>
  <si>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</si>
  <si>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</si>
  <si>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</si>
  <si>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</si>
  <si>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</si>
  <si>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</si>
  <si>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</si>
  <si>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</si>
  <si>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</si>
  <si>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</si>
  <si>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</si>
  <si>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</si>
  <si>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</si>
  <si>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</si>
  <si>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</si>
  <si>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</si>
  <si>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</si>
  <si>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</si>
  <si>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</si>
  <si>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</si>
  <si>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</si>
  <si>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</si>
  <si>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</si>
  <si>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</si>
  <si>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</si>
  <si>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</si>
  <si>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</si>
  <si>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</si>
  <si>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</si>
  <si>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</si>
  <si>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</si>
  <si>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</si>
  <si>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</si>
  <si>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</si>
  <si>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</si>
  <si>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</si>
  <si>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</si>
  <si>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</si>
  <si>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</si>
  <si>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</si>
  <si>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</si>
  <si>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</si>
  <si>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</si>
  <si>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</si>
  <si>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</si>
  <si>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</si>
  <si>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</si>
  <si>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</si>
  <si>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</si>
  <si>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</si>
  <si>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</si>
  <si>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</si>
  <si>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</si>
  <si>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</si>
  <si>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</si>
  <si>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</si>
  <si>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</si>
  <si>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</si>
  <si>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</si>
  <si>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</si>
  <si>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</si>
  <si>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</si>
  <si>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</si>
  <si>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</si>
  <si>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</si>
  <si>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</si>
  <si>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</si>
  <si>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</si>
  <si>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</si>
  <si>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</si>
  <si>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</si>
  <si>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</si>
  <si>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</si>
  <si>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</si>
  <si>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</si>
  <si>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</si>
  <si>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</si>
  <si>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</si>
  <si>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</si>
  <si>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</si>
  <si>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</si>
  <si>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</si>
  <si>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</si>
  <si>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</si>
  <si>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</si>
  <si>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</si>
  <si>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</si>
  <si>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</si>
  <si>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</si>
  <si>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</si>
  <si>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</si>
  <si>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</si>
  <si>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</si>
  <si>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</si>
  <si>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</si>
  <si>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</si>
  <si>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</si>
  <si>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</si>
  <si>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</si>
  <si>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</si>
  <si>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</si>
  <si>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</si>
  <si>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</si>
  <si>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</si>
  <si>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</si>
  <si>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</si>
  <si>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</si>
  <si>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</si>
  <si>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</si>
  <si>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</si>
  <si>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</si>
  <si>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</si>
  <si>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</si>
  <si>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</si>
  <si>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</si>
  <si>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</si>
  <si>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</si>
  <si>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</si>
  <si>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</si>
  <si>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</si>
  <si>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</si>
  <si>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</si>
  <si>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</si>
  <si>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</si>
  <si>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</si>
  <si>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</si>
  <si>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</si>
  <si>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</si>
  <si>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</si>
  <si>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</si>
  <si>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</si>
  <si>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</si>
  <si>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</si>
  <si>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</si>
  <si>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</si>
  <si>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</si>
  <si>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</si>
  <si>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</si>
  <si>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</si>
  <si>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</si>
  <si>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</si>
  <si>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</si>
  <si>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</si>
  <si>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</si>
  <si>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</si>
  <si>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</si>
  <si>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</si>
  <si>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</si>
  <si>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</si>
  <si>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</si>
  <si>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</si>
  <si>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</si>
  <si>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</si>
  <si>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</si>
  <si>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</si>
  <si>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</si>
  <si>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</si>
  <si>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</si>
  <si>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</si>
  <si>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</si>
  <si>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</si>
  <si>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</si>
  <si>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</si>
  <si>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</si>
  <si>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</si>
  <si>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</si>
  <si>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</si>
  <si>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</si>
  <si>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</si>
  <si>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</si>
  <si>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</si>
  <si>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</si>
  <si>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</si>
  <si>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</si>
  <si>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</si>
  <si>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</si>
  <si>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</si>
  <si>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</si>
  <si>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</si>
  <si>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</si>
  <si>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</si>
  <si>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</si>
  <si>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</si>
  <si>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</si>
  <si>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</si>
  <si>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</si>
  <si>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</si>
  <si>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</si>
  <si>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</si>
  <si>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</si>
  <si>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</si>
  <si>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</si>
  <si>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</si>
  <si>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</si>
  <si>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</si>
  <si>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</si>
  <si>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</si>
  <si>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</si>
  <si>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</si>
  <si>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</si>
  <si>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</si>
  <si>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</si>
  <si>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</si>
  <si>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</si>
  <si>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</si>
  <si>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</si>
  <si>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</si>
  <si>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</si>
  <si>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</si>
  <si>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</si>
  <si>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</si>
  <si>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</si>
  <si>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</si>
  <si>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</si>
  <si>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</si>
  <si>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</si>
  <si>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</si>
  <si>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</si>
  <si>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</si>
  <si>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</si>
  <si>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</si>
  <si>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</si>
  <si>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</si>
  <si>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</si>
  <si>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</si>
  <si>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</si>
  <si>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</si>
  <si>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</si>
  <si>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</si>
  <si>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</si>
  <si>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</si>
  <si>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</si>
  <si>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</si>
  <si>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</si>
  <si>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</si>
  <si>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</si>
  <si>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</si>
  <si>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</si>
  <si>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</si>
  <si>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</si>
  <si>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</si>
  <si>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</si>
  <si>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</si>
  <si>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</si>
  <si>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</si>
  <si>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</si>
  <si>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</si>
  <si>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</si>
  <si>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</si>
  <si>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</si>
  <si>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</si>
  <si>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</si>
  <si>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</si>
  <si>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</si>
  <si>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</si>
  <si>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</si>
  <si>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</si>
  <si>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</si>
  <si>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</si>
  <si>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</si>
  <si>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</si>
  <si>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</si>
  <si>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</si>
  <si>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</si>
  <si>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</si>
  <si>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</si>
  <si>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</si>
  <si>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</si>
  <si>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</si>
  <si>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</si>
  <si>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</si>
  <si>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</si>
  <si>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</si>
  <si>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</si>
  <si>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</si>
  <si>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</si>
  <si>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</si>
  <si>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</si>
  <si>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</si>
  <si>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</si>
  <si>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</si>
  <si>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</si>
  <si>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</si>
  <si>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</si>
  <si>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</si>
  <si>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</si>
  <si>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</si>
  <si>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</si>
  <si>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</si>
  <si>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</si>
  <si>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</si>
  <si>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</si>
  <si>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</si>
  <si>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</si>
  <si>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</si>
  <si>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</si>
  <si>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</si>
  <si>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</si>
  <si>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</si>
  <si>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</si>
  <si>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</si>
  <si>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</si>
  <si>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</si>
  <si>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</si>
  <si>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</si>
  <si>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</si>
  <si>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</si>
  <si>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</si>
  <si>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</si>
  <si>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</si>
  <si>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</si>
  <si>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</si>
  <si>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</si>
  <si>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</si>
  <si>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</si>
  <si>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</si>
  <si>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</si>
  <si>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</si>
  <si>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</si>
  <si>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</si>
  <si>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</si>
  <si>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</si>
  <si>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</si>
  <si>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</si>
  <si>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</si>
  <si>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</si>
  <si>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</si>
  <si>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</si>
  <si>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</si>
  <si>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</si>
  <si>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</si>
  <si>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</si>
  <si>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</si>
  <si>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</si>
  <si>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</si>
  <si>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</si>
  <si>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</si>
  <si>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</si>
  <si>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</si>
  <si>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</si>
  <si>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</si>
  <si>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</si>
  <si>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</si>
  <si>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</si>
  <si>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</si>
  <si>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</si>
  <si>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</si>
  <si>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</si>
  <si>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</si>
  <si>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</si>
  <si>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</si>
  <si>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</si>
  <si>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</si>
  <si>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</si>
  <si>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</si>
  <si>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</si>
  <si>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</si>
  <si>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</si>
  <si>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</si>
  <si>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</si>
  <si>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</si>
  <si>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</si>
  <si>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</si>
  <si>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</si>
  <si>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</si>
  <si>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</si>
  <si>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</si>
  <si>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</si>
  <si>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</si>
  <si>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</si>
  <si>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</si>
  <si>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</si>
  <si>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</si>
  <si>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</si>
  <si>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</si>
  <si>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</si>
  <si>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</si>
  <si>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</si>
  <si>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</si>
  <si>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</si>
  <si>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</si>
  <si>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</si>
  <si>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</si>
  <si>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</si>
  <si>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</si>
  <si>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</si>
  <si>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</si>
  <si>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</si>
  <si>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</si>
  <si>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</si>
  <si>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</si>
  <si>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</si>
  <si>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</si>
  <si>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</si>
  <si>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</si>
  <si>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</si>
  <si>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</si>
  <si>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</si>
  <si>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</si>
  <si>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</si>
  <si>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</si>
  <si>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</si>
  <si>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</si>
  <si>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</si>
  <si>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</si>
  <si>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</si>
  <si>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</si>
  <si>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</si>
  <si>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</si>
  <si>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</si>
  <si>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</si>
  <si>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</si>
  <si>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</si>
  <si>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</si>
  <si>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</si>
  <si>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</si>
  <si>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</si>
  <si>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</si>
  <si>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</si>
  <si>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</si>
  <si>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</si>
  <si>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</si>
  <si>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</si>
  <si>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</si>
  <si>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</si>
  <si>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</si>
  <si>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</si>
  <si>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</si>
  <si>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</si>
  <si>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</si>
  <si>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</si>
  <si>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</si>
  <si>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</si>
  <si>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</si>
  <si>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</si>
  <si>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</si>
  <si>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</si>
  <si>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</si>
  <si>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</si>
  <si>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</si>
  <si>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</si>
  <si>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</si>
  <si>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</si>
  <si>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</si>
  <si>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</si>
  <si>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</si>
  <si>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</si>
  <si>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</si>
  <si>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</si>
  <si>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</si>
  <si>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</si>
  <si>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</si>
  <si>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</si>
  <si>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</si>
  <si>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</si>
  <si>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</si>
  <si>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</si>
  <si>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</si>
  <si>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</si>
  <si>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</si>
  <si>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</si>
  <si>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</si>
  <si>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</si>
  <si>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</si>
  <si>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</si>
  <si>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</si>
  <si>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</si>
  <si>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</si>
  <si>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</si>
  <si>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</si>
  <si>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</si>
  <si>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</si>
  <si>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</si>
  <si>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</si>
  <si>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</si>
  <si>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</si>
  <si>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</si>
  <si>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</si>
  <si>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</si>
  <si>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</si>
  <si>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</si>
  <si>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</si>
  <si>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</si>
  <si>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</si>
  <si>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</si>
  <si>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</si>
  <si>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</si>
  <si>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</si>
  <si>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</si>
  <si>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</si>
  <si>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</si>
  <si>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</si>
  <si>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</si>
  <si>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</si>
  <si>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</si>
  <si>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</si>
  <si>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</si>
  <si>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</si>
  <si>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</si>
  <si>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</si>
  <si>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</si>
  <si>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</si>
  <si>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</si>
  <si>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</si>
  <si>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</si>
  <si>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</si>
  <si>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</si>
  <si>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</si>
  <si>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</si>
  <si>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</si>
  <si>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</si>
  <si>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</si>
  <si>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</si>
  <si>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</si>
  <si>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</si>
  <si>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</si>
  <si>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</si>
  <si>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</si>
  <si>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</si>
  <si>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</si>
  <si>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</si>
  <si>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</si>
  <si>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</si>
  <si>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</si>
  <si>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</si>
  <si>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</si>
  <si>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</si>
  <si>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</si>
  <si>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</si>
  <si>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</si>
  <si>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</si>
  <si>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</si>
  <si>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</si>
  <si>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</si>
  <si>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</si>
  <si>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</si>
  <si>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</si>
  <si>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</si>
  <si>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</si>
  <si>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</si>
  <si>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</si>
  <si>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</si>
  <si>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</si>
  <si>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</si>
  <si>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</si>
  <si>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</si>
  <si>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</si>
  <si>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</si>
  <si>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</si>
  <si>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</si>
  <si>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</si>
  <si>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</si>
  <si>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</si>
  <si>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</si>
  <si>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</si>
  <si>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</si>
  <si>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</si>
  <si>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</si>
  <si>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</si>
  <si>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</si>
  <si>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</si>
  <si>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</si>
  <si>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</si>
  <si>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</si>
  <si>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</si>
  <si>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</si>
  <si>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</si>
  <si>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</si>
  <si>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</si>
  <si>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</si>
  <si>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</si>
  <si>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</si>
  <si>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</si>
  <si>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</si>
  <si>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</si>
  <si>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</si>
  <si>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</si>
  <si>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</si>
  <si>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</si>
  <si>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</si>
  <si>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</si>
  <si>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</si>
  <si>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</si>
  <si>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</si>
  <si>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</si>
  <si>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</si>
  <si>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</si>
  <si>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</si>
  <si>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</si>
  <si>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</si>
  <si>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</si>
  <si>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</si>
  <si>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</si>
  <si>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</si>
  <si>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</si>
  <si>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</si>
  <si>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</si>
  <si>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</si>
  <si>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</si>
  <si>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</si>
  <si>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</si>
  <si>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</si>
  <si>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</si>
  <si>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</si>
  <si>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</si>
  <si>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</si>
  <si>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</si>
  <si>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</si>
  <si>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</si>
  <si>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</si>
  <si>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</si>
  <si>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</si>
  <si>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</si>
  <si>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</si>
  <si>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</si>
  <si>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</si>
  <si>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</si>
  <si>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</si>
  <si>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</si>
  <si>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</si>
  <si>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</si>
  <si>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</si>
  <si>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</si>
  <si>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</si>
  <si>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</si>
  <si>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</si>
  <si>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</si>
  <si>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</si>
  <si>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</si>
  <si>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</si>
  <si>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</si>
  <si>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</si>
  <si>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</si>
  <si>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</si>
  <si>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</si>
  <si>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</si>
  <si>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</si>
  <si>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</si>
  <si>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</si>
  <si>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</si>
  <si>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</si>
  <si>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</si>
  <si>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</si>
  <si>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</si>
  <si>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</si>
  <si>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</si>
  <si>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</si>
  <si>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</si>
  <si>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</si>
  <si>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</si>
  <si>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</si>
  <si>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</si>
  <si>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</si>
  <si>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</si>
  <si>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</si>
  <si>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</si>
  <si>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</si>
  <si>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</si>
  <si>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</si>
  <si>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</si>
  <si>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</si>
  <si>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</si>
  <si>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</si>
  <si>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</si>
  <si>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</si>
  <si>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</si>
  <si>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</si>
  <si>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</si>
  <si>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</si>
  <si>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</si>
  <si>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</si>
  <si>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</si>
  <si>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</si>
  <si>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</si>
  <si>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</si>
  <si>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</si>
  <si>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</si>
  <si>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</si>
  <si>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</si>
  <si>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</si>
  <si>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</si>
  <si>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</si>
  <si>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</si>
  <si>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</si>
  <si>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</si>
  <si>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</si>
  <si>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</si>
  <si>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</si>
  <si>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</si>
  <si>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</si>
  <si>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</si>
  <si>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</si>
  <si>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</si>
  <si>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</si>
  <si>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</si>
  <si>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</si>
  <si>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</si>
  <si>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</si>
  <si>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</si>
  <si>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</si>
  <si>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</si>
  <si>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</si>
  <si>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</si>
  <si>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</si>
  <si>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</si>
  <si>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</si>
  <si>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</si>
  <si>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</si>
  <si>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</si>
  <si>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</si>
  <si>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</si>
  <si>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</si>
  <si>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</si>
  <si>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</si>
  <si>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</si>
  <si>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</si>
  <si>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</si>
  <si>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</si>
  <si>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</si>
  <si>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</si>
  <si>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</si>
  <si>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</si>
  <si>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</si>
  <si>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</si>
  <si>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</si>
  <si>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</si>
  <si>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</si>
  <si>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</si>
  <si>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</si>
  <si>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</si>
  <si>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</si>
  <si>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</si>
  <si>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</si>
  <si>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</si>
  <si>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</si>
  <si>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</si>
  <si>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</si>
  <si>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</si>
  <si>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</si>
  <si>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</si>
  <si>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</si>
  <si>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</si>
  <si>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</si>
  <si>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</si>
  <si>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</si>
  <si>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</si>
  <si>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</si>
  <si>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</si>
  <si>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</si>
  <si>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</si>
  <si>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</si>
  <si>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</si>
  <si>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</si>
  <si>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</si>
  <si>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</si>
  <si>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</si>
  <si>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</si>
  <si>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</si>
  <si>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</si>
  <si>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</si>
  <si>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</si>
  <si>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</si>
  <si>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</si>
  <si>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</si>
  <si>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</si>
  <si>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</si>
  <si>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</si>
  <si>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</si>
  <si>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</si>
  <si>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</si>
  <si>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</si>
  <si>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</si>
  <si>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</si>
  <si>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</si>
  <si>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</si>
  <si>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</si>
  <si>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</si>
  <si>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</si>
  <si>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</si>
  <si>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</si>
  <si>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</si>
  <si>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</si>
  <si>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</si>
  <si>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</si>
  <si>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</si>
  <si>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</si>
  <si>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</si>
  <si>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</si>
  <si>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</si>
  <si>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</si>
  <si>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</si>
  <si>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</si>
  <si>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</si>
  <si>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</si>
  <si>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</si>
  <si>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</si>
  <si>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</si>
  <si>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</si>
  <si>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</si>
  <si>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</si>
  <si>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</si>
  <si>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</si>
  <si>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</si>
  <si>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</si>
  <si>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</si>
  <si>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</si>
  <si>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</si>
  <si>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</si>
  <si>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</si>
  <si>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</si>
  <si>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</si>
  <si>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</si>
  <si>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</si>
  <si>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</si>
  <si>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</si>
  <si>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</si>
  <si>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</si>
  <si>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</si>
  <si>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</si>
  <si>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</si>
  <si>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</si>
  <si>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</si>
  <si>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</si>
  <si>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</si>
  <si>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</si>
  <si>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</si>
  <si>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</si>
  <si>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</si>
  <si>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</si>
  <si>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</si>
  <si>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</si>
  <si>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</si>
  <si>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</si>
  <si>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</si>
  <si>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</si>
  <si>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</si>
  <si>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</si>
  <si>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</si>
  <si>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</si>
  <si>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</si>
  <si>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</si>
  <si>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</si>
  <si>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</si>
  <si>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</si>
  <si>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</si>
  <si>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</si>
  <si>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</si>
  <si>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</si>
  <si>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</si>
  <si>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</si>
  <si>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</si>
  <si>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</si>
  <si>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</si>
  <si>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</si>
  <si>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</si>
  <si>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</si>
  <si>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</si>
  <si>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</si>
  <si>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</si>
  <si>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</si>
  <si>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</si>
  <si>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</si>
  <si>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</si>
  <si>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</si>
  <si>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</si>
  <si>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</si>
  <si>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</si>
  <si>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</si>
  <si>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</si>
  <si>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</si>
  <si>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</si>
  <si>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</si>
  <si>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</si>
  <si>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</si>
  <si>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</si>
  <si>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</si>
  <si>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</si>
  <si>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</si>
  <si>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</si>
  <si>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</si>
  <si>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</si>
  <si>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</si>
  <si>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</si>
  <si>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</si>
  <si>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</si>
  <si>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</si>
  <si>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</si>
  <si>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</si>
  <si>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</si>
  <si>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</si>
  <si>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</si>
  <si>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</si>
  <si>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</si>
  <si>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</si>
  <si>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</si>
  <si>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</si>
  <si>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</si>
  <si>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</si>
  <si>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</si>
  <si>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</si>
  <si>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</si>
  <si>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</si>
  <si>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</si>
  <si>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</si>
  <si>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</si>
  <si>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</si>
  <si>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</si>
  <si>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</si>
  <si>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</si>
  <si>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</si>
  <si>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</si>
  <si>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</si>
  <si>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</si>
  <si>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</si>
  <si>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</si>
  <si>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</si>
  <si>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</si>
  <si>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</si>
  <si>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</si>
  <si>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</si>
  <si>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</si>
  <si>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</si>
  <si>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</si>
  <si>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</si>
  <si>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</si>
  <si>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</si>
  <si>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</si>
  <si>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</si>
  <si>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</si>
  <si>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</si>
  <si>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</si>
  <si>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</si>
  <si>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</si>
  <si>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</si>
  <si>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</si>
  <si>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</si>
  <si>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</si>
  <si>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</si>
  <si>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</si>
  <si>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</si>
  <si>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</si>
  <si>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</si>
  <si>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</si>
  <si>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</si>
  <si>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</si>
  <si>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</si>
  <si>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</si>
  <si>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</si>
  <si>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</si>
  <si>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</si>
  <si>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</si>
  <si>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</si>
  <si>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</si>
  <si>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</si>
  <si>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</si>
  <si>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</si>
  <si>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</si>
  <si>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</si>
  <si>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</si>
  <si>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</si>
  <si>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</si>
  <si>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</si>
  <si>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</si>
  <si>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</si>
  <si>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</si>
  <si>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</si>
  <si>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</si>
  <si>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</si>
  <si>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</si>
  <si>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</si>
  <si>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</si>
  <si>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</si>
  <si>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</si>
  <si>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</si>
  <si>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</si>
  <si>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</si>
  <si>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</si>
  <si>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</si>
  <si>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</si>
  <si>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</si>
  <si>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</si>
  <si>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</si>
  <si>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</si>
  <si>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</si>
  <si>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</si>
  <si>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</si>
  <si>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</si>
  <si>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</si>
  <si>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</si>
  <si>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</si>
  <si>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</si>
  <si>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</si>
  <si>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</si>
  <si>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</si>
  <si>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</si>
  <si>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</si>
  <si>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</si>
  <si>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</si>
  <si>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</si>
  <si>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</si>
  <si>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</si>
  <si>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</si>
  <si>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</si>
  <si>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</si>
  <si>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</si>
  <si>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</si>
  <si>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</si>
  <si>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</si>
  <si>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</si>
  <si>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</si>
  <si>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</si>
  <si>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</si>
  <si>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</si>
  <si>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</si>
  <si>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</si>
  <si>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</si>
  <si>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</si>
  <si>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</si>
  <si>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</si>
  <si>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</si>
  <si>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</si>
  <si>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</si>
  <si>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</si>
  <si>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</si>
  <si>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</si>
  <si>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</si>
  <si>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</si>
  <si>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</si>
  <si>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</si>
  <si>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</si>
  <si>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</si>
  <si>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</si>
  <si>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</si>
  <si>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</si>
  <si>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</si>
  <si>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</si>
  <si>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</si>
  <si>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</si>
  <si>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</si>
  <si>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</si>
  <si>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</si>
  <si>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</si>
  <si>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</si>
  <si>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</si>
  <si>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</si>
  <si>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</si>
  <si>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</si>
  <si>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</si>
  <si>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</si>
  <si>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</si>
  <si>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</si>
  <si>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</si>
  <si>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</si>
  <si>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</si>
  <si>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</si>
  <si>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</si>
  <si>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</si>
  <si>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</si>
  <si>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</si>
  <si>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</si>
  <si>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</si>
  <si>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</si>
  <si>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</si>
  <si>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</si>
  <si>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</si>
  <si>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</si>
  <si>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</si>
  <si>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</si>
  <si>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</si>
  <si>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</si>
  <si>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</si>
  <si>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</si>
  <si>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</si>
  <si>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</si>
  <si>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</si>
  <si>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</si>
  <si>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</si>
  <si>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</si>
  <si>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</si>
  <si>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</si>
  <si>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</si>
  <si>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</si>
  <si>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</si>
  <si>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</si>
  <si>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</si>
  <si>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</si>
  <si>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</si>
  <si>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</si>
  <si>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</si>
  <si>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</si>
  <si>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</si>
  <si>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</si>
  <si>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</si>
  <si>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</si>
  <si>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</si>
  <si>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</si>
  <si>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</si>
  <si>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</si>
  <si>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</si>
  <si>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</si>
  <si>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</si>
  <si>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</si>
  <si>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</si>
  <si>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</si>
  <si>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</si>
  <si>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</si>
  <si>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</si>
  <si>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</si>
  <si>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</si>
  <si>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</si>
  <si>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</si>
  <si>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</si>
  <si>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</si>
  <si>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</si>
  <si>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</si>
  <si>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</si>
  <si>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</si>
  <si>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</si>
  <si>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</si>
  <si>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</si>
  <si>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</si>
  <si>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</si>
  <si>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</si>
  <si>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</si>
  <si>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</si>
  <si>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</si>
  <si>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</si>
  <si>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</si>
  <si>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</si>
  <si>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</si>
  <si>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</si>
  <si>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</si>
  <si>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</si>
  <si>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</si>
  <si>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</si>
  <si>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</si>
  <si>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</si>
  <si>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</si>
  <si>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</si>
  <si>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</si>
  <si>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</si>
  <si>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</si>
  <si>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</si>
  <si>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</si>
  <si>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</si>
  <si>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</si>
  <si>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</si>
  <si>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</si>
  <si>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</si>
  <si>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</si>
  <si>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</si>
  <si>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</si>
  <si>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</si>
  <si>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</si>
  <si>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</si>
  <si>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</si>
  <si>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</si>
  <si>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</si>
  <si>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</si>
  <si>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</si>
  <si>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</si>
  <si>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</si>
  <si>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</si>
  <si>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</si>
  <si>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</si>
  <si>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</si>
  <si>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</si>
  <si>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</si>
  <si>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</si>
  <si>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</si>
  <si>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</si>
  <si>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</si>
  <si>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</si>
  <si>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</si>
  <si>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</si>
  <si>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</si>
  <si>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</si>
  <si>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</si>
  <si>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</si>
  <si>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</si>
  <si>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</si>
  <si>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</si>
  <si>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</si>
  <si>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</si>
  <si>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</si>
  <si>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</si>
  <si>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</si>
  <si>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</si>
  <si>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</si>
  <si>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</si>
  <si>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</si>
  <si>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</si>
  <si>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</si>
  <si>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</si>
  <si>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</si>
  <si>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</si>
  <si>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</si>
  <si>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</si>
  <si>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</si>
  <si>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</si>
  <si>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</si>
  <si>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</si>
  <si>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</si>
  <si>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</si>
  <si>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</si>
  <si>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</si>
  <si>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</si>
  <si>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</si>
  <si>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</si>
  <si>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</si>
  <si>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</si>
  <si>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</si>
  <si>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</si>
  <si>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</si>
  <si>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</si>
  <si>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</si>
  <si>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</si>
  <si>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</si>
  <si>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</si>
  <si>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</si>
  <si>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</si>
  <si>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</si>
  <si>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</si>
  <si>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</si>
  <si>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</si>
  <si>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</si>
  <si>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</si>
  <si>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</si>
  <si>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</si>
  <si>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</si>
  <si>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</si>
  <si>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</si>
  <si>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</si>
  <si>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</si>
  <si>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</si>
  <si>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</si>
  <si>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</si>
  <si>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</si>
  <si>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</si>
  <si>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</si>
  <si>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</si>
  <si>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</si>
  <si>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</si>
  <si>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</si>
  <si>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</si>
  <si>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</si>
  <si>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</si>
  <si>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</si>
  <si>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</si>
  <si>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</si>
  <si>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</si>
  <si>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</si>
  <si>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</si>
  <si>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</si>
  <si>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</si>
  <si>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</si>
  <si>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</si>
  <si>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</si>
  <si>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</si>
  <si>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</si>
  <si>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</si>
  <si>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</si>
  <si>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</si>
  <si>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</si>
  <si>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</si>
  <si>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</si>
  <si>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</si>
  <si>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</si>
  <si>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</si>
  <si>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</si>
  <si>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</si>
  <si>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</si>
  <si>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</si>
  <si>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</si>
  <si>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</si>
  <si>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</si>
  <si>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</si>
  <si>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</si>
  <si>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</si>
  <si>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</si>
  <si>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</si>
  <si>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</si>
  <si>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</si>
  <si>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</si>
  <si>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</si>
  <si>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</si>
  <si>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</si>
  <si>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</si>
  <si>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</si>
  <si>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</si>
  <si>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</si>
  <si>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</si>
  <si>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</si>
  <si>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</si>
  <si>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</si>
  <si>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</si>
  <si>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</si>
  <si>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</si>
  <si>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</si>
  <si>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</si>
  <si>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</si>
  <si>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</si>
  <si>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</si>
  <si>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</si>
  <si>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</si>
  <si>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</si>
  <si>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</si>
  <si>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</si>
  <si>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</si>
  <si>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</si>
  <si>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</si>
  <si>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</si>
  <si>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</si>
  <si>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</si>
  <si>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</si>
  <si>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</si>
  <si>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</si>
  <si>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</si>
  <si>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</si>
  <si>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</si>
  <si>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</si>
  <si>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</si>
  <si>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</si>
  <si>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</si>
  <si>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</si>
  <si>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</si>
  <si>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</si>
  <si>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</si>
  <si>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</si>
  <si>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</si>
  <si>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</si>
  <si>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</si>
  <si>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</si>
  <si>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</si>
  <si>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</si>
  <si>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</si>
  <si>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</si>
  <si>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</si>
  <si>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</si>
  <si>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</si>
  <si>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</si>
  <si>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</si>
  <si>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</si>
  <si>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</si>
  <si>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</si>
  <si>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</si>
  <si>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</si>
  <si>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</si>
  <si>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</si>
  <si>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</si>
  <si>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</si>
  <si>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</si>
  <si>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</si>
  <si>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</si>
  <si>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</si>
  <si>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</si>
  <si>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</si>
  <si>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</si>
  <si>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</si>
  <si>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</si>
  <si>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</si>
  <si>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</si>
  <si>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</si>
  <si>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</si>
  <si>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</si>
  <si>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</si>
  <si>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</si>
  <si>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</si>
  <si>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</si>
  <si>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</si>
  <si>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</si>
  <si>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</si>
  <si>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</si>
  <si>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</si>
  <si>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</si>
  <si>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</si>
  <si>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</si>
  <si>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</si>
  <si>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</si>
  <si>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</si>
  <si>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</si>
  <si>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</si>
  <si>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</si>
  <si>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</si>
  <si>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</si>
  <si>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</si>
  <si>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</si>
  <si>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</si>
  <si>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</si>
  <si>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</si>
  <si>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</si>
  <si>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</si>
  <si>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</si>
  <si>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</si>
  <si>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</si>
  <si>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</si>
  <si>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</si>
  <si>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</si>
  <si>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</si>
  <si>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</si>
  <si>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</si>
  <si>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</si>
  <si>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</si>
  <si>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</si>
  <si>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</si>
  <si>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</si>
  <si>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</si>
  <si>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</si>
  <si>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</si>
  <si>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</si>
  <si>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</si>
  <si>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</si>
  <si>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</si>
  <si>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</si>
  <si>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</si>
  <si>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</si>
  <si>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</si>
  <si>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</si>
  <si>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</si>
  <si>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</si>
  <si>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</si>
  <si>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</si>
  <si>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</si>
  <si>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</si>
  <si>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</si>
  <si>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</si>
  <si>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</si>
  <si>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</si>
  <si>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</si>
  <si>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</si>
  <si>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</si>
  <si>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</si>
  <si>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</si>
  <si>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</si>
  <si>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</si>
  <si>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</si>
  <si>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</si>
  <si>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</si>
  <si>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</si>
  <si>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</si>
  <si>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</si>
  <si>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</si>
  <si>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</si>
  <si>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</si>
  <si>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</si>
  <si>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</si>
  <si>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</si>
  <si>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</si>
  <si>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</si>
  <si>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</si>
  <si>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</si>
  <si>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</si>
  <si>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</si>
  <si>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</si>
  <si>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</si>
  <si>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</si>
  <si>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</si>
  <si>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</si>
  <si>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</si>
  <si>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</si>
  <si>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</si>
  <si>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</si>
  <si>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</si>
  <si>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</si>
  <si>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</si>
  <si>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</si>
  <si>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</si>
  <si>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</si>
  <si>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</si>
  <si>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</si>
  <si>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</si>
  <si>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</si>
  <si>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</si>
  <si>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</si>
  <si>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</si>
  <si>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</si>
  <si>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</si>
  <si>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</si>
  <si>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</si>
  <si>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</si>
  <si>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</si>
  <si>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</si>
  <si>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</si>
  <si>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</si>
  <si>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</si>
  <si>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</si>
  <si>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</si>
  <si>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</si>
  <si>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</si>
  <si>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</si>
  <si>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</si>
  <si>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</si>
  <si>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</si>
  <si>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</si>
  <si>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</si>
  <si>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</si>
  <si>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</si>
  <si>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</si>
  <si>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</si>
  <si>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</si>
  <si>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</si>
  <si>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</si>
  <si>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</si>
  <si>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</si>
  <si>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</si>
  <si>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</si>
  <si>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</si>
  <si>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</si>
  <si>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</si>
  <si>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</si>
  <si>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</si>
  <si>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</si>
  <si>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</si>
  <si>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</si>
  <si>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</si>
  <si>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</si>
  <si>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</si>
  <si>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</si>
  <si>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</si>
  <si>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</si>
  <si>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</si>
  <si>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</si>
  <si>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</si>
  <si>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</si>
  <si>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</si>
  <si>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</si>
  <si>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</si>
  <si>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</si>
  <si>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</si>
  <si>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</si>
  <si>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</si>
  <si>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</si>
  <si>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</si>
  <si>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</si>
  <si>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</si>
  <si>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</si>
  <si>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</si>
  <si>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</si>
  <si>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</si>
  <si>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</si>
  <si>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</si>
  <si>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</si>
  <si>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</si>
  <si>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</si>
  <si>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</si>
  <si>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</si>
  <si>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</si>
  <si>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</si>
  <si>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</si>
  <si>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</si>
  <si>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</si>
  <si>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</si>
  <si>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</si>
  <si>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</si>
  <si>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</si>
  <si>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</si>
  <si>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</si>
  <si>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</si>
  <si>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</si>
  <si>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</si>
  <si>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</si>
  <si>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</si>
  <si>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</si>
  <si>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</si>
  <si>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</si>
  <si>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</si>
  <si>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</si>
  <si>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</si>
  <si>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</si>
  <si>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</si>
  <si>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</si>
  <si>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</si>
  <si>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</si>
  <si>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</si>
  <si>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</si>
  <si>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</si>
  <si>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</si>
  <si>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</si>
  <si>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</si>
  <si>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</si>
  <si>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</si>
  <si>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</si>
  <si>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</si>
  <si>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</si>
  <si>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</si>
  <si>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</si>
  <si>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</si>
  <si>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</si>
  <si>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</si>
  <si>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</si>
  <si>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</si>
  <si>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</si>
  <si>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</si>
  <si>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</si>
  <si>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</si>
  <si>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</si>
  <si>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</si>
  <si>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</si>
  <si>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</si>
  <si>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</si>
  <si>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</si>
  <si>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</si>
  <si>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</si>
  <si>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</si>
  <si>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</si>
  <si>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</si>
  <si>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</si>
  <si>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</si>
  <si>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</si>
  <si>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</si>
  <si>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</si>
  <si>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</si>
  <si>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</si>
  <si>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</si>
  <si>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</si>
  <si>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</si>
  <si>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</si>
  <si>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</si>
  <si>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</si>
  <si>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</si>
  <si>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</si>
  <si>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</si>
  <si>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</si>
  <si>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</si>
  <si>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</si>
  <si>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</si>
  <si>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</si>
  <si>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</si>
  <si>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</si>
  <si>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</si>
  <si>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</si>
  <si>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</si>
  <si>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</si>
  <si>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</si>
  <si>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</si>
  <si>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</si>
  <si>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</si>
  <si>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</si>
  <si>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</si>
  <si>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</si>
  <si>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</si>
  <si>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</si>
  <si>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</si>
  <si>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</si>
  <si>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</si>
  <si>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</si>
  <si>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</si>
  <si>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</si>
  <si>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</si>
  <si>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</si>
  <si>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</si>
  <si>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</si>
  <si>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</si>
  <si>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</si>
  <si>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</si>
  <si>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</si>
  <si>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</si>
  <si>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</si>
  <si>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</si>
  <si>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</si>
  <si>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</si>
  <si>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</si>
  <si>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</si>
  <si>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</si>
  <si>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</si>
  <si>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</si>
  <si>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</si>
  <si>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</si>
  <si>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</si>
  <si>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</si>
  <si>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</si>
  <si>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</si>
  <si>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</si>
  <si>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</si>
  <si>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</si>
  <si>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</si>
  <si>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</si>
  <si>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</si>
  <si>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</si>
  <si>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</si>
  <si>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</si>
  <si>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</si>
  <si>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</si>
  <si>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</si>
  <si>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</si>
  <si>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</si>
  <si>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</si>
  <si>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</si>
  <si>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</si>
  <si>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</si>
  <si>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</si>
  <si>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</si>
  <si>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</si>
  <si>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</si>
  <si>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</si>
  <si>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</si>
  <si>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</si>
  <si>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</si>
  <si>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</si>
  <si>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</si>
  <si>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</si>
  <si>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</si>
  <si>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</si>
  <si>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</si>
  <si>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</si>
  <si>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</si>
  <si>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</si>
  <si>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</si>
  <si>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</si>
  <si>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</si>
  <si>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</si>
  <si>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</si>
  <si>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</si>
  <si>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</si>
  <si>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</si>
  <si>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</si>
  <si>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</si>
  <si>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</si>
  <si>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</si>
  <si>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</si>
  <si>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</si>
  <si>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</si>
  <si>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</si>
  <si>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</si>
  <si>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</si>
  <si>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</si>
  <si>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</si>
  <si>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</si>
  <si>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</si>
  <si>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</si>
  <si>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</si>
  <si>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</si>
  <si>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</si>
  <si>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</si>
  <si>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</si>
  <si>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</si>
  <si>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</si>
  <si>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</si>
  <si>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</si>
  <si>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</si>
  <si>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</si>
  <si>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</si>
  <si>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</si>
  <si>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</si>
  <si>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</si>
  <si>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</si>
  <si>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</si>
  <si>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</si>
  <si>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</si>
  <si>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</si>
  <si>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</si>
  <si>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</si>
  <si>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</si>
  <si>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</si>
  <si>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</si>
  <si>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</si>
  <si>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</si>
  <si>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</si>
  <si>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</si>
  <si>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</si>
  <si>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</si>
  <si>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</si>
  <si>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</si>
  <si>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</si>
  <si>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</si>
  <si>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</si>
  <si>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</si>
  <si>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</si>
  <si>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</si>
  <si>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</si>
  <si>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</si>
  <si>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</si>
  <si>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</si>
  <si>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</si>
  <si>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</si>
  <si>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</si>
  <si>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</si>
  <si>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</si>
  <si>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</si>
  <si>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</si>
  <si>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</si>
  <si>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</si>
  <si>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</si>
  <si>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</si>
  <si>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</si>
  <si>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</si>
  <si>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</si>
  <si>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</si>
  <si>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</si>
  <si>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</si>
  <si>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</si>
  <si>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</si>
  <si>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</si>
  <si>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</si>
  <si>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</si>
  <si>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</si>
  <si>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</si>
  <si>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</si>
  <si>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</si>
  <si>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</si>
  <si>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</si>
  <si>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</si>
  <si>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</si>
  <si>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</si>
  <si>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</si>
  <si>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</si>
  <si>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</si>
  <si>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</si>
  <si>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</si>
  <si>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</si>
  <si>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</si>
  <si>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</si>
  <si>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</si>
  <si>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</si>
  <si>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</si>
  <si>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</si>
  <si>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</si>
  <si>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</si>
  <si>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</si>
  <si>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</si>
  <si>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</si>
  <si>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</si>
  <si>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</si>
  <si>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</si>
  <si>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</si>
  <si>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</si>
  <si>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</si>
  <si>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</si>
  <si>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</si>
  <si>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</si>
  <si>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</si>
  <si>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</si>
  <si>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</si>
  <si>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</si>
  <si>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</si>
  <si>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</si>
  <si>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</si>
  <si>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</si>
  <si>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</si>
  <si>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</si>
  <si>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</si>
  <si>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</si>
  <si>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</si>
  <si>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</si>
  <si>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</si>
  <si>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</si>
  <si>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</si>
  <si>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</si>
  <si>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</si>
  <si>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</si>
  <si>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</si>
  <si>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</si>
  <si>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</si>
  <si>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</si>
  <si>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</si>
  <si>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</si>
  <si>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</si>
  <si>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</si>
  <si>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</si>
  <si>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</si>
  <si>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</si>
  <si>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</si>
  <si>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</si>
  <si>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</si>
  <si>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</si>
  <si>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</si>
  <si>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</si>
  <si>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</si>
  <si>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</si>
  <si>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</si>
  <si>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</si>
  <si>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</si>
  <si>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</si>
  <si>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</si>
  <si>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</si>
  <si>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</si>
  <si>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</si>
  <si>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</si>
  <si>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</si>
  <si>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</si>
  <si>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</si>
  <si>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</si>
  <si>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</si>
  <si>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</si>
  <si>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</si>
  <si>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</si>
  <si>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</si>
  <si>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</si>
  <si>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</si>
  <si>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</si>
  <si>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</si>
  <si>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</si>
  <si>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</si>
  <si>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</si>
  <si>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</si>
  <si>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</si>
  <si>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</si>
  <si>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</si>
  <si>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</si>
  <si>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</si>
  <si>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</si>
  <si>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</si>
  <si>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</si>
  <si>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</si>
  <si>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</si>
  <si>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</si>
  <si>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</si>
  <si>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</si>
  <si>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</si>
  <si>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</si>
  <si>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</si>
  <si>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</si>
  <si>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</si>
  <si>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</si>
  <si>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</si>
  <si>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</si>
  <si>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</si>
  <si>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</si>
  <si>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</si>
  <si>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</si>
  <si>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</si>
  <si>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</si>
  <si>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</si>
  <si>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</si>
  <si>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</si>
  <si>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</si>
  <si>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</si>
  <si>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</si>
  <si>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</si>
  <si>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</si>
  <si>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</si>
  <si>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</si>
  <si>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</si>
  <si>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</si>
  <si>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</si>
  <si>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</si>
  <si>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</si>
  <si>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</si>
  <si>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</si>
  <si>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</si>
  <si>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</si>
  <si>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</si>
  <si>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</si>
  <si>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</si>
  <si>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</si>
  <si>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</si>
  <si>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</si>
  <si>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</si>
  <si>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</si>
  <si>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</si>
  <si>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</si>
  <si>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</si>
  <si>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</si>
  <si>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</si>
  <si>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</si>
  <si>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</si>
  <si>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</si>
  <si>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</si>
  <si>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</si>
  <si>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</si>
  <si>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</si>
  <si>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</si>
  <si>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</si>
  <si>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</si>
  <si>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</si>
  <si>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</si>
  <si>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</si>
  <si>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</si>
  <si>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</si>
  <si>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</si>
  <si>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</si>
  <si>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</si>
  <si>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</si>
  <si>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</si>
  <si>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</si>
  <si>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</si>
  <si>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</si>
  <si>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</si>
  <si>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</si>
  <si>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</si>
  <si>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</si>
  <si>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</si>
  <si>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</si>
  <si>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</si>
  <si>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</si>
  <si>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</si>
  <si>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</si>
  <si>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</si>
  <si>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</si>
  <si>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</si>
  <si>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</si>
  <si>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</si>
  <si>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</si>
  <si>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</si>
  <si>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</si>
  <si>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</si>
  <si>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</si>
  <si>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</si>
  <si>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</si>
  <si>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</si>
  <si>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</si>
  <si>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</si>
  <si>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</si>
  <si>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</si>
  <si>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</si>
  <si>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</si>
  <si>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</si>
  <si>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</si>
  <si>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</si>
  <si>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</si>
  <si>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</si>
  <si>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</si>
  <si>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</si>
  <si>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</si>
  <si>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</si>
  <si>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</si>
  <si>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</si>
  <si>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</si>
  <si>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</si>
  <si>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</si>
  <si>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</si>
  <si>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</si>
  <si>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</si>
  <si>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</si>
  <si>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</si>
  <si>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</si>
  <si>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</si>
  <si>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</si>
  <si>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</si>
  <si>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</si>
  <si>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</si>
  <si>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</si>
  <si>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</si>
  <si>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</si>
  <si>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</si>
  <si>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</si>
  <si>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</si>
  <si>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</si>
  <si>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</si>
  <si>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</si>
  <si>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</si>
  <si>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</si>
  <si>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</si>
  <si>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</si>
  <si>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</si>
  <si>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</si>
  <si>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</si>
  <si>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</si>
  <si>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</si>
  <si>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</si>
  <si>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</si>
  <si>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</si>
  <si>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</si>
  <si>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</si>
  <si>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</si>
  <si>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</si>
  <si>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</si>
  <si>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</si>
  <si>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</si>
  <si>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</si>
  <si>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</si>
  <si>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</si>
  <si>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</si>
  <si>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</si>
  <si>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</si>
  <si>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</si>
  <si>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</si>
  <si>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</si>
  <si>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</si>
  <si>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</si>
  <si>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</si>
  <si>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</si>
  <si>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</si>
  <si>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</si>
  <si>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</si>
  <si>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</si>
  <si>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</si>
  <si>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</si>
  <si>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</si>
  <si>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</si>
  <si>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</si>
  <si>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</si>
  <si>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</si>
  <si>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</si>
  <si>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</si>
  <si>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</si>
  <si>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</si>
  <si>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</si>
  <si>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</si>
  <si>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</si>
  <si>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</si>
  <si>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</si>
  <si>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</si>
  <si>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</si>
  <si>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</si>
  <si>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</si>
  <si>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</si>
  <si>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</si>
  <si>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</si>
  <si>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</si>
  <si>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</si>
  <si>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</si>
  <si>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</si>
  <si>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</si>
  <si>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</si>
  <si>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</si>
  <si>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</si>
  <si>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</si>
  <si>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</si>
  <si>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</si>
  <si>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</si>
  <si>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</si>
  <si>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</si>
  <si>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</si>
  <si>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</si>
  <si>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</si>
  <si>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</si>
  <si>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</si>
  <si>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</si>
  <si>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</si>
  <si>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</si>
  <si>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</si>
  <si>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</si>
  <si>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</si>
  <si>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</si>
  <si>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</si>
  <si>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</si>
  <si>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</si>
  <si>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</si>
  <si>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</si>
  <si>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</si>
  <si>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</si>
  <si>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</si>
  <si>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</si>
  <si>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</si>
  <si>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</si>
  <si>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</si>
  <si>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</si>
  <si>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</si>
  <si>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</si>
  <si>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</si>
  <si>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</si>
  <si>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</si>
  <si>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</si>
  <si>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</si>
  <si>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</si>
  <si>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</si>
  <si>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</si>
  <si>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</si>
  <si>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</si>
  <si>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</si>
  <si>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</si>
  <si>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</si>
  <si>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</si>
  <si>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</si>
  <si>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</si>
  <si>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</si>
  <si>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</si>
  <si>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</si>
  <si>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</si>
  <si>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</si>
  <si>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</si>
  <si>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</si>
  <si>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</si>
  <si>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</si>
  <si>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</si>
  <si>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</si>
  <si>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</si>
  <si>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</si>
  <si>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</si>
  <si>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</si>
  <si>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</si>
  <si>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</si>
  <si>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</si>
  <si>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</si>
  <si>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</si>
  <si>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</si>
  <si>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</si>
  <si>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</si>
  <si>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</si>
  <si>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</si>
  <si>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</si>
  <si>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</si>
  <si>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</si>
  <si>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</si>
  <si>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</si>
  <si>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</si>
  <si>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</si>
  <si>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</si>
  <si>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</si>
  <si>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</si>
  <si>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</si>
  <si>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</si>
  <si>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</si>
  <si>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</si>
  <si>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</si>
  <si>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</si>
  <si>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</si>
  <si>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</si>
  <si>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</si>
  <si>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</si>
  <si>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</si>
  <si>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</si>
  <si>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</si>
  <si>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</si>
  <si>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</si>
  <si>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</si>
  <si>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</si>
  <si>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</si>
  <si>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</si>
  <si>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</si>
  <si>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</si>
  <si>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</si>
  <si>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</si>
  <si>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</si>
  <si>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</si>
  <si>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</si>
  <si>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</si>
  <si>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</si>
  <si>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</si>
  <si>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</si>
  <si>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</si>
  <si>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</si>
  <si>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</si>
  <si>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</si>
  <si>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</si>
  <si>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</si>
  <si>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</si>
  <si>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</si>
  <si>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</si>
  <si>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</si>
  <si>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</si>
  <si>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</si>
  <si>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</si>
  <si>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</si>
  <si>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</si>
  <si>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</si>
  <si>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</si>
  <si>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</si>
  <si>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</si>
  <si>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</si>
  <si>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</si>
  <si>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</si>
  <si>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</si>
  <si>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</si>
  <si>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</si>
  <si>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</si>
  <si>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</si>
  <si>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</si>
  <si>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</si>
  <si>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</si>
  <si>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</si>
  <si>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</si>
  <si>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</si>
  <si>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</si>
  <si>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</si>
  <si>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</si>
  <si>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</si>
  <si>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</si>
  <si>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</si>
  <si>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</si>
  <si>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</si>
  <si>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</si>
  <si>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</si>
  <si>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</si>
  <si>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</si>
  <si>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</si>
  <si>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</si>
  <si>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</si>
  <si>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</si>
  <si>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</si>
  <si>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</si>
  <si>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</si>
  <si>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</si>
  <si>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</si>
  <si>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</si>
  <si>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</si>
  <si>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</si>
  <si>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</si>
  <si>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</si>
  <si>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</si>
  <si>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</si>
  <si>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</si>
  <si>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</si>
  <si>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</si>
  <si>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</si>
  <si>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</si>
  <si>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</si>
  <si>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</si>
  <si>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</si>
  <si>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</si>
  <si>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</si>
  <si>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</si>
  <si>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</si>
  <si>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</si>
  <si>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</si>
  <si>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</si>
  <si>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</si>
  <si>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</si>
  <si>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</si>
  <si>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</si>
  <si>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</si>
  <si>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</si>
  <si>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</si>
  <si>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</si>
  <si>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</si>
  <si>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</si>
  <si>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</si>
  <si>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</si>
  <si>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</si>
  <si>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</si>
  <si>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</si>
  <si>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</si>
  <si>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</si>
  <si>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</si>
  <si>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</si>
  <si>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</si>
  <si>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</si>
  <si>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</si>
  <si>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</si>
  <si>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</si>
  <si>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</si>
  <si>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</si>
  <si>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</si>
  <si>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</si>
  <si>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</si>
  <si>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</si>
  <si>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</si>
  <si>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</si>
  <si>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</si>
  <si>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</si>
  <si>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</si>
  <si>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</si>
  <si>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</si>
  <si>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</si>
  <si>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</si>
  <si>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</si>
  <si>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</si>
  <si>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</si>
  <si>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</si>
  <si>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</si>
  <si>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</si>
  <si>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</si>
  <si>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</si>
  <si>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</si>
  <si>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</si>
  <si>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</si>
  <si>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</si>
  <si>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</si>
  <si>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</si>
  <si>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</si>
  <si>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</si>
  <si>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</si>
  <si>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</si>
  <si>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</si>
  <si>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</si>
  <si>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</si>
  <si>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</si>
  <si>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</si>
  <si>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</si>
  <si>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</si>
  <si>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</si>
  <si>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</si>
  <si>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</si>
  <si>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</si>
  <si>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</si>
  <si>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</si>
  <si>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</si>
  <si>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</si>
  <si>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</si>
  <si>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</si>
  <si>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</si>
  <si>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</si>
  <si>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</si>
  <si>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</si>
  <si>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</si>
  <si>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</si>
  <si>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</si>
  <si>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</si>
  <si>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</si>
  <si>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</si>
  <si>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</si>
  <si>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</si>
  <si>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</si>
  <si>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</si>
  <si>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</si>
  <si>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</si>
  <si>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</si>
  <si>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</si>
  <si>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</si>
  <si>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</si>
  <si>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</si>
  <si>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</si>
  <si>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</si>
  <si>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</si>
  <si>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</si>
  <si>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</si>
  <si>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</si>
  <si>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</si>
  <si>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</si>
  <si>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</si>
  <si>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</si>
  <si>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</si>
  <si>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</si>
  <si>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</si>
  <si>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</si>
  <si>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</si>
  <si>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</si>
  <si>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</si>
  <si>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</si>
  <si>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</si>
  <si>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</si>
  <si>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</si>
  <si>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</si>
  <si>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</si>
  <si>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</si>
  <si>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</si>
  <si>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</si>
  <si>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</si>
  <si>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</si>
  <si>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</si>
  <si>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</si>
  <si>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</si>
  <si>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</si>
  <si>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</si>
  <si>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</si>
  <si>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</si>
  <si>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</si>
  <si>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</si>
  <si>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</si>
  <si>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</si>
  <si>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</si>
  <si>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</si>
  <si>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</si>
  <si>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</si>
  <si>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</si>
  <si>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</si>
  <si>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</si>
  <si>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</si>
  <si>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</si>
  <si>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</si>
  <si>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</si>
  <si>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</si>
  <si>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</si>
  <si>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</si>
  <si>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</si>
  <si>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</si>
  <si>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</si>
  <si>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</si>
  <si>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</si>
  <si>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</si>
  <si>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</si>
  <si>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</si>
  <si>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</si>
  <si>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</si>
  <si>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</si>
  <si>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</si>
  <si>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</si>
  <si>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</si>
  <si>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</si>
  <si>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</si>
  <si>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</si>
  <si>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</si>
  <si>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</si>
  <si>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</si>
  <si>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</si>
  <si>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</si>
  <si>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</si>
  <si>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</si>
  <si>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</si>
  <si>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</si>
  <si>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</si>
  <si>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</si>
  <si>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</si>
  <si>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</si>
  <si>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</si>
  <si>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</si>
  <si>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</si>
  <si>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</si>
  <si>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</si>
  <si>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</si>
  <si>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</si>
  <si>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</si>
  <si>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</si>
  <si>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</si>
  <si>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</si>
  <si>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</si>
  <si>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</si>
  <si>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</si>
  <si>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</si>
  <si>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</si>
  <si>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</si>
  <si>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</si>
  <si>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</si>
  <si>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</si>
  <si>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</si>
  <si>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</si>
  <si>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</si>
  <si>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</si>
  <si>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</si>
  <si>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</si>
  <si>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</si>
  <si>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</si>
  <si>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</si>
  <si>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</si>
  <si>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</si>
  <si>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</si>
  <si>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</si>
  <si>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</si>
  <si>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</si>
  <si>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</si>
  <si>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</si>
  <si>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</si>
  <si>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</si>
  <si>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</si>
  <si>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</si>
  <si>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</si>
  <si>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</si>
  <si>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</si>
  <si>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</si>
  <si>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</si>
  <si>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</si>
  <si>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</si>
  <si>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</si>
  <si>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</si>
  <si>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</si>
  <si>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</si>
  <si>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</si>
  <si>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</si>
  <si>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</si>
  <si>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</si>
  <si>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</si>
  <si>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</si>
  <si>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</si>
  <si>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</si>
  <si>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</si>
  <si>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</si>
  <si>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</si>
  <si>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</si>
  <si>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</si>
  <si>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</si>
  <si>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</si>
  <si>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</si>
  <si>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</si>
  <si>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</si>
  <si>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</si>
  <si>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</si>
  <si>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</si>
  <si>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</si>
  <si>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</si>
  <si>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</si>
  <si>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</si>
  <si>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</si>
  <si>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</si>
  <si>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</si>
  <si>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</si>
  <si>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</si>
  <si>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</si>
  <si>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</si>
  <si>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</si>
  <si>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</si>
  <si>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</si>
  <si>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</si>
  <si>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</si>
  <si>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</si>
  <si>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</si>
  <si>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</si>
  <si>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</si>
  <si>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</si>
  <si>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</si>
  <si>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</si>
  <si>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</si>
  <si>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</si>
  <si>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</si>
  <si>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</si>
  <si>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</si>
  <si>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</si>
  <si>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</si>
  <si>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</si>
  <si>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</si>
  <si>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</si>
  <si>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</si>
  <si>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</si>
  <si>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</si>
  <si>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</si>
  <si>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</si>
  <si>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</si>
  <si>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</si>
  <si>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</si>
  <si>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</si>
  <si>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</si>
  <si>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</si>
  <si>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</si>
  <si>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</si>
  <si>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</si>
  <si>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</si>
  <si>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</si>
  <si>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</si>
  <si>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</si>
  <si>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</si>
  <si>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</si>
  <si>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</si>
  <si>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</si>
  <si>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</si>
  <si>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</si>
  <si>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</si>
  <si>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</si>
  <si>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</si>
  <si>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</si>
  <si>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</si>
  <si>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</si>
  <si>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</si>
  <si>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</si>
  <si>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</si>
  <si>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</si>
  <si>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</si>
  <si>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</si>
  <si>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</si>
  <si>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</si>
  <si>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</si>
  <si>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</si>
  <si>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</si>
  <si>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</si>
  <si>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</si>
  <si>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</si>
  <si>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</si>
  <si>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</si>
  <si>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</si>
  <si>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</si>
  <si>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</si>
  <si>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</si>
  <si>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</si>
  <si>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</si>
  <si>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</si>
  <si>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</si>
  <si>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</si>
  <si>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</si>
  <si>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</si>
  <si>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</si>
  <si>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</si>
  <si>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</si>
  <si>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</si>
  <si>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</si>
  <si>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</si>
  <si>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</si>
  <si>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</si>
  <si>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</si>
  <si>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</si>
  <si>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</si>
  <si>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</si>
  <si>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</si>
  <si>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</si>
  <si>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</si>
  <si>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</si>
  <si>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</si>
  <si>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</si>
  <si>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</si>
  <si>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</si>
  <si>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</si>
  <si>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</si>
  <si>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</si>
  <si>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</si>
  <si>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</si>
  <si>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</si>
  <si>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</si>
  <si>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</si>
  <si>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</si>
  <si>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</si>
  <si>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</si>
  <si>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</si>
  <si>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</si>
  <si>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</si>
  <si>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</si>
  <si>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</si>
  <si>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</si>
  <si>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</si>
  <si>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</si>
  <si>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</si>
  <si>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</si>
  <si>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</si>
  <si>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</si>
  <si>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</si>
  <si>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</si>
  <si>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</si>
  <si>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</si>
  <si>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</si>
  <si>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</si>
  <si>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</si>
  <si>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</si>
  <si>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</si>
  <si>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</si>
  <si>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</si>
  <si>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</si>
  <si>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</si>
  <si>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</si>
  <si>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</si>
  <si>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</si>
  <si>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</si>
  <si>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</si>
  <si>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</si>
  <si>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</si>
  <si>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</si>
  <si>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</si>
  <si>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</si>
  <si>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</si>
  <si>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</si>
  <si>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</si>
  <si>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</si>
  <si>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</si>
  <si>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</si>
  <si>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</si>
  <si>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</si>
  <si>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</si>
  <si>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</si>
  <si>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</si>
  <si>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</si>
  <si>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</si>
  <si>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</si>
  <si>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</si>
  <si>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</si>
  <si>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</si>
  <si>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</si>
  <si>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</si>
  <si>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</si>
  <si>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</si>
  <si>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</si>
  <si>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</si>
  <si>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</si>
  <si>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</si>
  <si>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</si>
  <si>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</si>
  <si>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</si>
  <si>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</si>
  <si>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</si>
  <si>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</si>
  <si>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</si>
  <si>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</si>
  <si>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</si>
  <si>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</si>
  <si>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</si>
  <si>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</si>
  <si>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</si>
  <si>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</si>
  <si>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</si>
  <si>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</si>
  <si>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</si>
  <si>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</si>
  <si>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</si>
  <si>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</si>
  <si>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</si>
  <si>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</si>
  <si>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</si>
  <si>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</si>
  <si>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</si>
  <si>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</si>
  <si>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</si>
  <si>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</si>
  <si>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</si>
  <si>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</si>
  <si>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</si>
  <si>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</si>
  <si>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</si>
  <si>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</si>
  <si>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</si>
  <si>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</si>
  <si>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</si>
  <si>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</si>
  <si>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</si>
  <si>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</si>
  <si>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</si>
  <si>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</si>
  <si>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</si>
  <si>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</si>
  <si>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</si>
  <si>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</si>
  <si>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</si>
  <si>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</si>
  <si>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</si>
  <si>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</si>
  <si>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</si>
  <si>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</si>
  <si>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</si>
  <si>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</si>
  <si>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</si>
  <si>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</si>
  <si>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</si>
  <si>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</si>
  <si>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</si>
  <si>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</si>
  <si>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</si>
  <si>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</si>
  <si>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</si>
  <si>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</si>
  <si>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</si>
  <si>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</si>
  <si>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</si>
  <si>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</si>
  <si>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</si>
  <si>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</si>
  <si>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</si>
  <si>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</si>
  <si>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</si>
  <si>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</si>
  <si>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</si>
  <si>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</si>
  <si>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</si>
  <si>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</si>
  <si>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</si>
  <si>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</si>
  <si>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</si>
  <si>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</si>
  <si>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</si>
  <si>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</si>
  <si>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</si>
  <si>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</si>
  <si>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</si>
  <si>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</si>
  <si>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</si>
  <si>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</si>
  <si>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</si>
  <si>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</si>
  <si>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</si>
  <si>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</si>
  <si>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</si>
  <si>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</si>
  <si>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</si>
  <si>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</si>
  <si>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</si>
  <si>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</si>
  <si>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</si>
  <si>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</si>
  <si>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</si>
  <si>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</si>
  <si>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</si>
  <si>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</si>
  <si>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</si>
  <si>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</si>
  <si>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</si>
  <si>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</si>
  <si>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</si>
  <si>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</si>
  <si>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</si>
  <si>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</si>
  <si>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</si>
  <si>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</si>
  <si>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</si>
  <si>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</si>
  <si>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</si>
  <si>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</si>
  <si>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</si>
  <si>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</si>
  <si>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</si>
  <si>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</si>
  <si>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</si>
  <si>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</si>
  <si>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</si>
  <si>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</si>
  <si>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</si>
  <si>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</si>
  <si>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</si>
  <si>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</si>
  <si>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</si>
  <si>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</si>
  <si>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</si>
  <si>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</si>
  <si>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</si>
  <si>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</si>
  <si>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</si>
  <si>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</si>
  <si>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</si>
  <si>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</si>
  <si>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</si>
  <si>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</si>
  <si>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</si>
  <si>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</si>
  <si>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</si>
  <si>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</si>
  <si>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</si>
  <si>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</si>
  <si>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</si>
  <si>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</si>
  <si>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</si>
  <si>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</si>
  <si>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</si>
  <si>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</si>
  <si>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</si>
  <si>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</si>
  <si>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</si>
  <si>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</si>
  <si>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</si>
  <si>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</si>
  <si>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</si>
  <si>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</si>
  <si>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</si>
  <si>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</si>
  <si>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</si>
  <si>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</si>
  <si>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</si>
  <si>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</si>
  <si>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</si>
  <si>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</si>
  <si>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</si>
  <si>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</si>
  <si>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</si>
  <si>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</si>
  <si>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</si>
  <si>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</si>
  <si>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</si>
  <si>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</si>
  <si>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</si>
  <si>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</si>
  <si>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</si>
  <si>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</si>
  <si>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</si>
  <si>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</si>
  <si>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</si>
  <si>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</si>
  <si>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</si>
  <si>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</si>
  <si>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</si>
  <si>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</si>
  <si>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</si>
  <si>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</si>
  <si>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</si>
  <si>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</si>
  <si>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</si>
  <si>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</si>
  <si>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</si>
  <si>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</si>
  <si>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</si>
  <si>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</si>
  <si>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</si>
  <si>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</si>
  <si>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</si>
  <si>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</si>
  <si>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</si>
  <si>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</si>
  <si>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</si>
  <si>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</si>
  <si>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</si>
  <si>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</si>
  <si>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</si>
  <si>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</si>
  <si>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</si>
  <si>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</si>
  <si>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</si>
  <si>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</si>
  <si>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</si>
  <si>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</si>
  <si>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</si>
  <si>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</si>
  <si>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</si>
  <si>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</si>
  <si>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</si>
  <si>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</si>
  <si>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</si>
  <si>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</si>
  <si>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</si>
  <si>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</si>
  <si>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</si>
  <si>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</si>
  <si>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</si>
  <si>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</si>
  <si>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</si>
  <si>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</si>
  <si>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</si>
  <si>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</si>
  <si>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</si>
  <si>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</si>
  <si>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</si>
  <si>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</si>
  <si>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</si>
  <si>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</si>
  <si>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</si>
  <si>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</si>
  <si>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</si>
  <si>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</si>
  <si>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</si>
  <si>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</si>
  <si>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</si>
  <si>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</si>
  <si>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</si>
  <si>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</si>
  <si>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</si>
  <si>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</si>
  <si>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</si>
  <si>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</si>
  <si>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</si>
  <si>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</si>
  <si>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</si>
  <si>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</si>
  <si>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</si>
  <si>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</si>
  <si>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</si>
  <si>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</si>
  <si>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</si>
  <si>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</si>
  <si>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</si>
  <si>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</si>
  <si>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</si>
  <si>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</si>
  <si>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</si>
  <si>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</si>
  <si>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</si>
  <si>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</si>
  <si>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</si>
  <si>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</si>
  <si>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</si>
  <si>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</si>
  <si>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</si>
  <si>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</si>
  <si>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</si>
  <si>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</si>
  <si>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</si>
  <si>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</si>
  <si>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</si>
  <si>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</si>
  <si>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</si>
  <si>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</si>
  <si>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</si>
  <si>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</si>
  <si>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</si>
  <si>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</si>
  <si>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</si>
  <si>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</si>
  <si>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</si>
  <si>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</si>
  <si>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</si>
  <si>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</si>
  <si>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</si>
  <si>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</si>
  <si>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</si>
  <si>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</si>
  <si>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</si>
  <si>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</si>
  <si>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</si>
  <si>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</si>
  <si>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</si>
  <si>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</si>
  <si>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</si>
  <si>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</si>
  <si>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</si>
  <si>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</si>
  <si>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</si>
  <si>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</si>
  <si>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</si>
  <si>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</si>
  <si>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</si>
  <si>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</si>
  <si>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</si>
  <si>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</si>
  <si>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</si>
  <si>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</si>
  <si>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</si>
  <si>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</si>
  <si>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</si>
  <si>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</si>
  <si>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</si>
  <si>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</si>
  <si>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</si>
  <si>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</si>
  <si>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</si>
  <si>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</si>
  <si>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</si>
  <si>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</si>
  <si>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</si>
  <si>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</si>
  <si>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</si>
  <si>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</si>
  <si>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</si>
  <si>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</si>
  <si>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</si>
  <si>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</si>
  <si>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</si>
  <si>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</si>
  <si>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</si>
  <si>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</si>
  <si>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</si>
  <si>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</si>
  <si>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</si>
  <si>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</si>
  <si>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</si>
  <si>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</si>
  <si>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</si>
  <si>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</si>
  <si>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</si>
  <si>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</si>
  <si>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</si>
  <si>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</si>
  <si>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</si>
  <si>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</si>
  <si>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</si>
  <si>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</si>
  <si>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</si>
  <si>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</si>
  <si>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</si>
  <si>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</si>
  <si>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</si>
  <si>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</si>
  <si>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</si>
  <si>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</si>
  <si>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</si>
  <si>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</si>
  <si>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</si>
  <si>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</si>
  <si>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</si>
  <si>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</si>
  <si>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</si>
  <si>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</si>
  <si>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</si>
  <si>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</si>
  <si>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</si>
  <si>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</si>
  <si>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</si>
  <si>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</si>
  <si>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</si>
  <si>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</si>
  <si>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</si>
  <si>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</si>
  <si>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</si>
  <si>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</si>
  <si>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</si>
  <si>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</si>
  <si>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</si>
  <si>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</si>
  <si>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</si>
  <si>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</si>
  <si>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</si>
  <si>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</si>
  <si>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</si>
  <si>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</si>
  <si>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</si>
  <si>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</si>
  <si>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</si>
  <si>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</si>
  <si>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</si>
  <si>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</si>
  <si>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</si>
  <si>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</si>
  <si>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</si>
  <si>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</si>
  <si>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</si>
  <si>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</si>
  <si>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</si>
  <si>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</si>
  <si>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</si>
  <si>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</si>
  <si>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</si>
  <si>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</si>
  <si>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</si>
  <si>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</si>
  <si>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</si>
  <si>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</si>
  <si>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</si>
  <si>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</si>
  <si>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</si>
  <si>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</si>
  <si>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</si>
  <si>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</si>
  <si>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</si>
  <si>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</si>
  <si>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</si>
  <si>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</si>
  <si>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</si>
  <si>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</si>
  <si>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</si>
  <si>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</si>
  <si>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</si>
  <si>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</si>
  <si>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</si>
  <si>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</si>
  <si>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</si>
  <si>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</si>
  <si>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</si>
  <si>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</si>
  <si>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</si>
  <si>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</si>
  <si>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</si>
  <si>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</si>
  <si>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</si>
  <si>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</si>
  <si>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</si>
  <si>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</si>
  <si>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</si>
  <si>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</si>
  <si>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</si>
  <si>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</si>
  <si>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</si>
  <si>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</si>
  <si>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</si>
  <si>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</si>
  <si>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</si>
  <si>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</si>
  <si>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</si>
  <si>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</si>
  <si>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</si>
  <si>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</si>
  <si>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</si>
  <si>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</si>
  <si>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</si>
  <si>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</si>
  <si>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</si>
  <si>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</si>
  <si>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</si>
  <si>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</si>
  <si>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</si>
  <si>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</si>
  <si>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</si>
  <si>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</si>
  <si>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</si>
  <si>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</si>
  <si>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</si>
  <si>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</si>
  <si>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</si>
  <si>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</si>
  <si>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</si>
  <si>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</si>
  <si>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</si>
  <si>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</si>
  <si>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</si>
  <si>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</si>
  <si>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</si>
  <si>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</si>
  <si>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</si>
  <si>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</si>
  <si>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</si>
  <si>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</si>
  <si>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</si>
  <si>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</si>
  <si>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</si>
  <si>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</si>
  <si>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</si>
  <si>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</si>
  <si>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</si>
  <si>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</si>
  <si>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</si>
  <si>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</si>
  <si>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</si>
  <si>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</si>
  <si>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</si>
  <si>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</si>
  <si>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</si>
  <si>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</si>
  <si>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</si>
  <si>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</si>
  <si>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</si>
  <si>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</si>
  <si>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</si>
  <si>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</si>
  <si>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</si>
  <si>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</si>
  <si>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</si>
  <si>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</si>
  <si>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</si>
  <si>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</si>
  <si>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</si>
  <si>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</si>
  <si>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</si>
  <si>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</si>
  <si>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</si>
  <si>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</si>
  <si>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</si>
  <si>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</si>
  <si>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</si>
  <si>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</si>
  <si>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</si>
  <si>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</si>
  <si>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</si>
  <si>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</si>
  <si>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</si>
  <si>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</si>
  <si>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</si>
  <si>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</si>
  <si>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</si>
  <si>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</si>
  <si>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</si>
  <si>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</si>
  <si>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</si>
  <si>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</si>
  <si>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</si>
  <si>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</si>
  <si>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</si>
  <si>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</si>
  <si>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</si>
  <si>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</si>
  <si>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</si>
  <si>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</si>
  <si>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</si>
  <si>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</si>
  <si>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</si>
  <si>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</si>
  <si>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</si>
  <si>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</si>
  <si>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</si>
  <si>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</si>
  <si>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</si>
  <si>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</si>
  <si>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</si>
  <si>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</si>
  <si>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</si>
  <si>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</si>
  <si>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</si>
  <si>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</si>
  <si>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</si>
  <si>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</si>
  <si>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</si>
  <si>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</si>
  <si>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</si>
  <si>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</si>
  <si>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</si>
  <si>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</si>
  <si>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</si>
  <si>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</si>
  <si>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</si>
  <si>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</si>
  <si>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</si>
  <si>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</si>
  <si>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</si>
  <si>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</si>
  <si>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</si>
  <si>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</si>
  <si>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</si>
  <si>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</si>
  <si>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</si>
  <si>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</si>
  <si>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</si>
  <si>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</si>
  <si>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</si>
  <si>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</si>
  <si>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</si>
  <si>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</si>
  <si>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</si>
  <si>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</si>
  <si>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</si>
  <si>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</si>
  <si>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</si>
  <si>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</si>
  <si>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</si>
  <si>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</si>
  <si>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</si>
  <si>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</si>
  <si>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</si>
  <si>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</si>
  <si>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</si>
  <si>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</si>
  <si>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</si>
  <si>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</si>
  <si>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</si>
  <si>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</si>
  <si>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</si>
  <si>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</si>
  <si>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</si>
  <si>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</si>
  <si>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</si>
  <si>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</si>
  <si>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</si>
  <si>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</si>
  <si>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</si>
  <si>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</si>
  <si>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</si>
  <si>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</si>
  <si>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</si>
  <si>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</si>
  <si>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</si>
  <si>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</si>
  <si>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</si>
  <si>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</si>
  <si>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</si>
  <si>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</si>
  <si>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</si>
  <si>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</si>
  <si>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</si>
  <si>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</si>
  <si>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</si>
  <si>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</si>
  <si>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</si>
  <si>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</si>
  <si>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</si>
  <si>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</si>
  <si>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</si>
  <si>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</si>
  <si>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</si>
  <si>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</si>
  <si>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</si>
  <si>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</si>
  <si>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</si>
  <si>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</si>
  <si>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</si>
  <si>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</si>
  <si>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</si>
  <si>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</si>
  <si>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</si>
  <si>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</si>
  <si>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</si>
  <si>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</si>
  <si>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</si>
  <si>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</si>
  <si>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</si>
  <si>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</si>
  <si>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</si>
  <si>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</si>
  <si>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</si>
  <si>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</si>
  <si>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</si>
  <si>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</si>
  <si>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</si>
  <si>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</si>
  <si>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</si>
  <si>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</si>
  <si>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</si>
  <si>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</si>
  <si>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</si>
  <si>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</si>
  <si>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</si>
  <si>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</si>
  <si>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</si>
  <si>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</si>
  <si>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</si>
  <si>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</si>
  <si>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</si>
  <si>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</si>
  <si>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</si>
  <si>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</si>
  <si>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</si>
  <si>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</si>
  <si>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</si>
  <si>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</si>
  <si>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</si>
  <si>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</si>
  <si>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</si>
  <si>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</si>
  <si>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</si>
  <si>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</si>
  <si>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</si>
  <si>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</si>
  <si>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</si>
  <si>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</si>
  <si>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</si>
  <si>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</si>
  <si>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</si>
  <si>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</si>
  <si>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</si>
  <si>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</si>
  <si>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</si>
  <si>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</si>
  <si>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</si>
  <si>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</si>
  <si>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</si>
  <si>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</si>
  <si>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</si>
  <si>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</si>
  <si>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</si>
  <si>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</si>
  <si>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</si>
  <si>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</si>
  <si>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</si>
  <si>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</si>
  <si>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</si>
  <si>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</si>
  <si>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</si>
  <si>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</si>
  <si>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</si>
  <si>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</si>
  <si>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</si>
  <si>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</si>
  <si>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</si>
  <si>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</si>
  <si>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</si>
  <si>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</si>
  <si>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</si>
  <si>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</si>
  <si>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</si>
  <si>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</si>
  <si>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</si>
  <si>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</si>
  <si>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</si>
  <si>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</si>
  <si>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</si>
  <si>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</si>
  <si>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</si>
  <si>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</si>
  <si>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</si>
  <si>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</si>
  <si>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</si>
  <si>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</si>
  <si>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</si>
  <si>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</si>
  <si>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</si>
  <si>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</si>
  <si>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</si>
  <si>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</si>
  <si>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</si>
  <si>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</si>
  <si>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</si>
  <si>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</si>
  <si>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</si>
  <si>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</si>
  <si>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</si>
  <si>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</si>
  <si>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</si>
  <si>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</si>
  <si>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</si>
  <si>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</si>
  <si>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</si>
  <si>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</si>
  <si>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</si>
  <si>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</si>
  <si>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</si>
  <si>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</si>
  <si>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</si>
  <si>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</si>
  <si>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</si>
  <si>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</si>
  <si>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</si>
  <si>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</si>
  <si>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</si>
  <si>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</si>
  <si>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</si>
  <si>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</si>
  <si>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</si>
  <si>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</si>
  <si>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</si>
  <si>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</si>
  <si>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</si>
  <si>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</si>
  <si>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</si>
  <si>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</si>
  <si>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</si>
  <si>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</si>
  <si>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</si>
  <si>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</si>
  <si>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</si>
  <si>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</si>
  <si>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</si>
  <si>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</si>
  <si>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</si>
  <si>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</si>
  <si>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</si>
  <si>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</si>
  <si>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</si>
  <si>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</si>
  <si>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</si>
  <si>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</si>
  <si>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</si>
  <si>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</si>
  <si>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</si>
  <si>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</si>
  <si>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</si>
  <si>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</si>
  <si>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</si>
  <si>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</si>
  <si>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</si>
  <si>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</si>
  <si>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</si>
  <si>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</si>
  <si>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</si>
  <si>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</si>
  <si>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</si>
  <si>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</si>
  <si>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</si>
  <si>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</si>
  <si>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</si>
  <si>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</si>
  <si>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</si>
  <si>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</si>
  <si>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</si>
  <si>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</si>
  <si>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</si>
  <si>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</si>
  <si>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</si>
  <si>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</si>
  <si>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</si>
  <si>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</si>
  <si>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</si>
  <si>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</si>
  <si>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</si>
  <si>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</si>
  <si>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</si>
  <si>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</si>
  <si>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</si>
  <si>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</si>
  <si>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</si>
  <si>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</si>
  <si>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</si>
  <si>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</si>
  <si>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</si>
  <si>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</si>
  <si>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</si>
  <si>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</si>
  <si>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</si>
  <si>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</si>
  <si>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</si>
  <si>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</si>
  <si>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</si>
  <si>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</si>
  <si>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</si>
  <si>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</si>
  <si>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</si>
  <si>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</si>
  <si>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</si>
  <si>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</si>
  <si>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</si>
  <si>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</si>
  <si>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</si>
  <si>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</si>
  <si>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</si>
  <si>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</si>
  <si>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</si>
  <si>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</si>
  <si>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</si>
  <si>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</si>
  <si>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</si>
  <si>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</si>
  <si>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</si>
  <si>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</si>
  <si>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</si>
  <si>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</si>
  <si>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</si>
  <si>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</si>
  <si>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</si>
  <si>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</si>
  <si>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</si>
  <si>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</si>
  <si>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</si>
  <si>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</si>
  <si>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</si>
  <si>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</si>
  <si>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</si>
  <si>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</si>
  <si>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</si>
  <si>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</si>
  <si>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</si>
  <si>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</si>
  <si>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</si>
  <si>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</si>
  <si>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</si>
  <si>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</si>
  <si>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</si>
  <si>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</si>
  <si>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</si>
  <si>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</si>
  <si>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</si>
  <si>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</si>
  <si>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</si>
  <si>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</si>
  <si>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</si>
  <si>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</si>
  <si>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</si>
  <si>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</si>
  <si>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</si>
  <si>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</si>
  <si>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</si>
  <si>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</si>
  <si>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</si>
  <si>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</si>
  <si>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</si>
  <si>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</si>
  <si>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</si>
  <si>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</si>
  <si>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</si>
  <si>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</si>
  <si>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</si>
  <si>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</si>
  <si>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</si>
  <si>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</si>
  <si>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</si>
  <si>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</si>
  <si>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</si>
  <si>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</si>
  <si>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</si>
  <si>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</si>
  <si>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</si>
  <si>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</si>
  <si>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</si>
  <si>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</si>
  <si>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</si>
  <si>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</si>
  <si>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</si>
  <si>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</si>
  <si>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</si>
  <si>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</si>
  <si>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</si>
  <si>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</si>
  <si>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</si>
  <si>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</si>
  <si>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</si>
  <si>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</si>
  <si>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</si>
  <si>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</si>
  <si>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</si>
  <si>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</si>
  <si>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</si>
  <si>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</si>
  <si>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</si>
  <si>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</si>
  <si>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</si>
  <si>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</si>
  <si>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</si>
  <si>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</si>
  <si>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</si>
  <si>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</si>
  <si>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</si>
  <si>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</si>
  <si>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</si>
  <si>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</si>
  <si>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</si>
  <si>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</si>
  <si>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</si>
  <si>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</si>
  <si>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</si>
  <si>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</si>
  <si>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</si>
  <si>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</si>
  <si>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</si>
  <si>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</si>
  <si>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</si>
  <si>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</si>
  <si>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</si>
  <si>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</si>
  <si>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</si>
  <si>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</si>
  <si>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</si>
  <si>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</si>
  <si>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</si>
  <si>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</si>
  <si>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</si>
  <si>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</si>
  <si>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</si>
  <si>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</si>
  <si>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</si>
  <si>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</si>
  <si>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</si>
  <si>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</si>
  <si>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</si>
  <si>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</si>
  <si>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</si>
  <si>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</si>
  <si>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</si>
  <si>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</si>
  <si>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</si>
  <si>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</si>
  <si>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</si>
  <si>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</si>
  <si>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</si>
  <si>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</si>
  <si>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</si>
  <si>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</si>
  <si>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</si>
  <si>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</si>
  <si>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</si>
  <si>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</si>
  <si>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</si>
  <si>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</si>
  <si>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</si>
  <si>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</si>
  <si>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</si>
  <si>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</si>
  <si>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</si>
  <si>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</si>
  <si>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</si>
  <si>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</si>
  <si>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</si>
  <si>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</si>
  <si>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</si>
  <si>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</si>
  <si>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</si>
  <si>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</si>
  <si>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</si>
  <si>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</si>
  <si>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</si>
  <si>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</si>
  <si>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</si>
  <si>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</si>
  <si>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</si>
  <si>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</si>
  <si>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</si>
  <si>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</si>
  <si>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</si>
  <si>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</si>
  <si>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</si>
  <si>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</si>
  <si>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</si>
  <si>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</si>
  <si>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</si>
  <si>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</si>
  <si>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</si>
  <si>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</si>
  <si>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</si>
  <si>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</si>
  <si>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</si>
  <si>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</si>
  <si>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</si>
  <si>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</si>
  <si>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</si>
  <si>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</si>
  <si>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</si>
  <si>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</si>
  <si>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</si>
  <si>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</si>
  <si>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</si>
  <si>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</si>
  <si>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</si>
  <si>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</si>
  <si>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</si>
  <si>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</si>
  <si>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</si>
  <si>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</si>
  <si>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</si>
  <si>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</si>
  <si>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</si>
  <si>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</si>
  <si>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</si>
  <si>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</si>
  <si>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</si>
  <si>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</si>
  <si>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</si>
  <si>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</si>
  <si>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</si>
  <si>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</si>
  <si>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</si>
  <si>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</si>
  <si>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</si>
  <si>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</si>
  <si>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</si>
  <si>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</si>
  <si>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</si>
  <si>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</si>
  <si>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</si>
  <si>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</si>
  <si>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</si>
  <si>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</si>
  <si>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</si>
  <si>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</si>
  <si>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</si>
  <si>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</si>
  <si>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</si>
  <si>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</si>
  <si>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</si>
  <si>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</si>
  <si>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</si>
  <si>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</si>
  <si>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</si>
  <si>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</si>
  <si>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</si>
  <si>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</si>
  <si>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</si>
  <si>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</si>
  <si>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</si>
  <si>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</si>
  <si>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</si>
  <si>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</si>
  <si>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</si>
  <si>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</si>
  <si>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</si>
  <si>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</si>
  <si>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</si>
  <si>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</si>
  <si>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</si>
  <si>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</si>
  <si>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</si>
  <si>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</si>
  <si>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</si>
  <si>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</si>
  <si>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</si>
  <si>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</si>
  <si>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</si>
  <si>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</si>
  <si>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</si>
  <si>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</si>
  <si>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</si>
  <si>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</si>
  <si>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</si>
  <si>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</si>
  <si>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</si>
  <si>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</si>
  <si>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</si>
  <si>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</si>
  <si>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</si>
  <si>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</si>
  <si>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</si>
  <si>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</si>
  <si>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</si>
  <si>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</si>
  <si>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</si>
  <si>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</si>
  <si>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</si>
  <si>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</si>
  <si>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</si>
  <si>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</si>
  <si>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</si>
  <si>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</si>
  <si>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</si>
  <si>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</si>
  <si>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</si>
  <si>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</si>
  <si>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</si>
  <si>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</si>
  <si>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</si>
  <si>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</si>
  <si>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</si>
  <si>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</si>
  <si>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</si>
  <si>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</si>
  <si>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</si>
  <si>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</si>
  <si>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</si>
  <si>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</si>
  <si>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</si>
  <si>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</si>
  <si>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</si>
  <si>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</si>
  <si>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</si>
  <si>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</si>
  <si>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</si>
  <si>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</si>
  <si>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</si>
  <si>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</si>
  <si>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</si>
  <si>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</si>
  <si>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</si>
  <si>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</si>
  <si>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</si>
  <si>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</si>
  <si>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</si>
  <si>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</si>
  <si>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</si>
  <si>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</si>
  <si>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</si>
  <si>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</si>
  <si>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</si>
  <si>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</si>
  <si>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</si>
  <si>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</si>
  <si>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</si>
  <si>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</si>
  <si>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</si>
  <si>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</si>
  <si>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</si>
  <si>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</si>
  <si>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</si>
  <si>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</si>
  <si>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</si>
  <si>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</si>
  <si>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</si>
  <si>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</si>
  <si>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</si>
  <si>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</si>
  <si>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</si>
  <si>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</si>
  <si>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</si>
  <si>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</si>
  <si>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</si>
  <si>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</si>
  <si>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</si>
  <si>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</si>
  <si>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</si>
  <si>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</si>
  <si>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</si>
  <si>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</si>
  <si>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</si>
  <si>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</si>
  <si>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</si>
  <si>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</si>
  <si>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</si>
  <si>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</si>
  <si>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</si>
  <si>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</si>
  <si>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</si>
  <si>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</si>
  <si>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</si>
  <si>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</si>
  <si>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</si>
  <si>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</si>
  <si>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</si>
  <si>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</si>
  <si>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</si>
  <si>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</si>
  <si>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</si>
  <si>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</si>
  <si>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</si>
  <si>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</si>
  <si>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</si>
  <si>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</si>
  <si>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</si>
  <si>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</si>
  <si>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</si>
  <si>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</si>
  <si>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</si>
  <si>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</si>
  <si>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</si>
  <si>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</si>
  <si>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</si>
  <si>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</si>
  <si>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</si>
  <si>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</si>
  <si>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</si>
  <si>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</si>
  <si>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</si>
  <si>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</si>
  <si>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</si>
  <si>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</si>
  <si>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</si>
  <si>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</si>
  <si>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</si>
  <si>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</si>
  <si>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</si>
  <si>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</si>
  <si>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</si>
  <si>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</si>
  <si>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</si>
  <si>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</si>
  <si>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</si>
  <si>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</si>
  <si>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</si>
  <si>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</si>
  <si>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</si>
  <si>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</si>
  <si>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</si>
  <si>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</si>
  <si>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</si>
  <si>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</si>
  <si>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</si>
  <si>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</si>
  <si>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</si>
  <si>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</si>
  <si>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</si>
  <si>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</si>
  <si>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</si>
  <si>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</si>
  <si>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</si>
  <si>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</si>
  <si>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</si>
  <si>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</si>
  <si>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</si>
  <si>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</si>
  <si>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</si>
  <si>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</si>
  <si>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</si>
  <si>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</si>
  <si>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</si>
  <si>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</si>
  <si>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</si>
  <si>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</si>
  <si>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</si>
  <si>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</si>
  <si>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</si>
  <si>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</si>
  <si>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</si>
  <si>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</si>
  <si>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</si>
  <si>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</si>
  <si>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</si>
  <si>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</si>
  <si>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</si>
  <si>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</si>
  <si>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</si>
  <si>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</si>
  <si>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</si>
  <si>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</si>
  <si>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</si>
  <si>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</si>
  <si>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</si>
  <si>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</si>
  <si>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</si>
  <si>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</si>
  <si>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</si>
  <si>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</si>
  <si>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</si>
  <si>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</si>
  <si>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</si>
  <si>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</si>
  <si>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</si>
  <si>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</si>
  <si>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</si>
  <si>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</si>
  <si>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</si>
  <si>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</si>
  <si>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</si>
  <si>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</si>
  <si>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</si>
  <si>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</si>
  <si>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</si>
  <si>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</si>
  <si>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</si>
  <si>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</si>
  <si>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</si>
  <si>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</si>
  <si>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</si>
  <si>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</si>
  <si>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</si>
  <si>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</si>
  <si>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</si>
  <si>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</si>
  <si>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</si>
  <si>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</si>
  <si>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</si>
  <si>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</si>
  <si>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</si>
  <si>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</si>
  <si>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</si>
  <si>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</si>
  <si>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</si>
  <si>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</si>
  <si>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</si>
  <si>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</si>
  <si>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</si>
  <si>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</si>
  <si>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</si>
  <si>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</si>
  <si>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</si>
  <si>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</si>
  <si>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</si>
  <si>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</si>
  <si>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</si>
  <si>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</si>
  <si>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</si>
  <si>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</si>
  <si>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</si>
  <si>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</si>
  <si>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</si>
  <si>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</si>
  <si>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</si>
  <si>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</si>
  <si>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</si>
  <si>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</si>
  <si>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</si>
  <si>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</si>
  <si>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</si>
  <si>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</si>
  <si>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</si>
  <si>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</si>
  <si>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</si>
  <si>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</si>
  <si>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</si>
  <si>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</si>
  <si>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</si>
  <si>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</si>
  <si>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</si>
  <si>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</si>
  <si>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</si>
  <si>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</si>
  <si>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</si>
  <si>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</si>
  <si>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</si>
  <si>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</si>
  <si>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</si>
  <si>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</si>
  <si>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</si>
  <si>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</si>
  <si>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</si>
  <si>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</si>
  <si>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</si>
  <si>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</si>
  <si>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</si>
  <si>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</si>
  <si>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</si>
  <si>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</si>
  <si>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</si>
  <si>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</si>
  <si>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</si>
  <si>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</si>
  <si>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</si>
  <si>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</si>
  <si>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</si>
  <si>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</si>
  <si>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</si>
  <si>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</si>
  <si>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</si>
  <si>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</si>
  <si>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</si>
  <si>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</si>
  <si>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</si>
  <si>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</si>
  <si>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</si>
  <si>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</si>
  <si>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</si>
  <si>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</si>
  <si>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</si>
  <si>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</si>
  <si>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</si>
  <si>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</si>
  <si>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</si>
  <si>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</si>
  <si>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</si>
  <si>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</si>
  <si>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</si>
  <si>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</si>
  <si>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</si>
  <si>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</si>
  <si>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</si>
  <si>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</si>
  <si>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</si>
  <si>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</si>
  <si>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</si>
  <si>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</si>
  <si>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</si>
  <si>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</si>
  <si>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</si>
  <si>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</si>
  <si>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</si>
  <si>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</si>
  <si>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</si>
  <si>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</si>
  <si>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</si>
  <si>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</si>
  <si>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</si>
  <si>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</si>
  <si>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</si>
  <si>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</si>
  <si>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</si>
  <si>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</si>
  <si>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</si>
  <si>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</si>
  <si>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</si>
  <si>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</si>
  <si>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</si>
  <si>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</si>
  <si>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</si>
  <si>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</si>
  <si>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</si>
  <si>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</si>
  <si>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</si>
  <si>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</si>
  <si>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</si>
  <si>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</si>
  <si>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</si>
  <si>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</si>
  <si>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</si>
  <si>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</si>
  <si>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</si>
  <si>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</si>
  <si>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</si>
  <si>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</si>
  <si>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</si>
  <si>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</si>
  <si>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</si>
  <si>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</si>
  <si>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</si>
  <si>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</si>
  <si>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</si>
  <si>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</si>
  <si>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</si>
  <si>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</si>
  <si>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</si>
  <si>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</si>
  <si>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</si>
  <si>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</si>
  <si>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</si>
  <si>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</si>
  <si>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</si>
  <si>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</si>
  <si>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</si>
  <si>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</si>
  <si>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</si>
  <si>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</si>
  <si>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</si>
  <si>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</si>
  <si>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</si>
  <si>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</si>
  <si>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</si>
  <si>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</si>
  <si>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</si>
  <si>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</si>
  <si>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</si>
  <si>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</si>
  <si>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</si>
  <si>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</si>
  <si>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</si>
  <si>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</si>
  <si>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</si>
  <si>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</si>
  <si>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</si>
  <si>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</si>
  <si>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</si>
  <si>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</si>
  <si>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</si>
  <si>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</si>
  <si>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</si>
  <si>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</si>
  <si>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</si>
  <si>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</si>
  <si>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</si>
  <si>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</si>
  <si>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</si>
  <si>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</si>
  <si>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</si>
  <si>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</si>
  <si>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</si>
  <si>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</si>
  <si>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</si>
  <si>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</si>
  <si>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</si>
  <si>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</si>
  <si>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</si>
  <si>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</si>
  <si>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</si>
  <si>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</si>
  <si>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</si>
  <si>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</si>
  <si>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</si>
  <si>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</si>
  <si>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</si>
  <si>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</si>
  <si>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</si>
  <si>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</si>
  <si>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</si>
  <si>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</si>
  <si>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</si>
  <si>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</si>
  <si>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</si>
  <si>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</si>
  <si>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</si>
  <si>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</si>
  <si>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</si>
  <si>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</si>
  <si>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</si>
  <si>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</si>
  <si>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</si>
  <si>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</si>
  <si>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</si>
  <si>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</si>
  <si>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</si>
  <si>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</si>
  <si>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</si>
  <si>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</si>
  <si>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</si>
  <si>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</si>
  <si>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</si>
  <si>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</si>
  <si>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</si>
  <si>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</si>
  <si>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</si>
  <si>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</si>
  <si>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</si>
  <si>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</si>
  <si>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</si>
  <si>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</si>
  <si>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</si>
  <si>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</si>
  <si>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</si>
  <si>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</si>
  <si>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</si>
  <si>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</si>
  <si>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</si>
  <si>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</si>
  <si>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</si>
  <si>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</si>
  <si>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</si>
  <si>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</si>
  <si>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</si>
  <si>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</si>
  <si>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</si>
  <si>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</si>
  <si>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</si>
  <si>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</si>
  <si>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</si>
  <si>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</si>
  <si>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</si>
  <si>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</si>
  <si>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</si>
  <si>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</si>
  <si>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</si>
  <si>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</si>
  <si>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</si>
  <si>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</si>
  <si>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</si>
  <si>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</si>
  <si>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</si>
  <si>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</si>
  <si>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</si>
  <si>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</si>
  <si>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</si>
  <si>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</si>
  <si>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</si>
  <si>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</si>
  <si>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</si>
  <si>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</si>
  <si>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</si>
  <si>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</si>
  <si>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</si>
  <si>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</si>
  <si>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</si>
  <si>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</si>
  <si>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</si>
  <si>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</si>
  <si>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</si>
  <si>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</si>
  <si>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</si>
  <si>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</si>
  <si>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</si>
  <si>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</si>
  <si>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</si>
  <si>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</si>
  <si>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</si>
  <si>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</si>
  <si>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</si>
  <si>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</si>
  <si>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</si>
  <si>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</si>
  <si>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</si>
  <si>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</si>
  <si>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</si>
  <si>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</si>
  <si>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</si>
  <si>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</si>
  <si>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</si>
  <si>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</si>
  <si>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</si>
  <si>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</si>
  <si>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</si>
  <si>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</si>
  <si>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</si>
  <si>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</si>
  <si>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</si>
  <si>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</si>
  <si>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</si>
  <si>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</si>
  <si>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</si>
  <si>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</si>
  <si>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</si>
  <si>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</si>
  <si>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</si>
  <si>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</si>
  <si>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</si>
  <si>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</si>
  <si>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</si>
  <si>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</si>
  <si>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</si>
  <si>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</si>
  <si>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</si>
  <si>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</si>
  <si>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</si>
  <si>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</si>
  <si>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</si>
  <si>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</si>
  <si>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</si>
  <si>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</si>
  <si>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</si>
  <si>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</si>
  <si>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</si>
  <si>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</si>
  <si>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</si>
  <si>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</si>
  <si>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</si>
  <si>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</si>
  <si>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</si>
  <si>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</si>
  <si>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</si>
  <si>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</si>
  <si>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</si>
  <si>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</si>
  <si>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</si>
  <si>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</si>
  <si>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</si>
  <si>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</si>
  <si>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</si>
  <si>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</si>
  <si>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</si>
  <si>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</si>
  <si>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</si>
  <si>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</si>
  <si>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</si>
  <si>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</si>
  <si>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</si>
  <si>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</si>
  <si>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</si>
  <si>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</si>
  <si>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</si>
  <si>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</si>
  <si>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</si>
  <si>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</si>
  <si>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</si>
  <si>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</si>
  <si>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</si>
  <si>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</si>
  <si>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</si>
  <si>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</si>
  <si>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</si>
  <si>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</si>
  <si>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</si>
  <si>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</si>
  <si>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</si>
  <si>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</si>
  <si>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</si>
  <si>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</si>
  <si>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</si>
  <si>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</si>
  <si>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</si>
  <si>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</si>
  <si>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</si>
  <si>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</si>
  <si>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</si>
  <si>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</si>
  <si>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</si>
  <si>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</si>
  <si>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</si>
  <si>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</si>
  <si>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</si>
  <si>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</si>
  <si>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</si>
  <si>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</si>
  <si>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</si>
  <si>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</si>
  <si>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</si>
  <si>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</si>
  <si>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</si>
  <si>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</si>
  <si>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</si>
  <si>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</si>
  <si>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</si>
  <si>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</si>
  <si>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</si>
  <si>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</si>
  <si>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</si>
  <si>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</si>
  <si>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</si>
  <si>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</si>
  <si>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</si>
  <si>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</si>
  <si>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</si>
  <si>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</si>
  <si>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</si>
  <si>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</si>
  <si>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</si>
  <si>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</si>
  <si>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</si>
  <si>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</si>
  <si>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</si>
  <si>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</si>
  <si>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</si>
  <si>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</si>
  <si>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</si>
  <si>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</si>
  <si>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</si>
  <si>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</si>
  <si>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</si>
  <si>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</si>
  <si>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</si>
  <si>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</si>
  <si>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</si>
  <si>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</si>
  <si>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</si>
  <si>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</si>
  <si>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</si>
  <si>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</si>
  <si>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</si>
  <si>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</si>
  <si>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</si>
  <si>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</si>
  <si>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</si>
  <si>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</si>
  <si>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</si>
  <si>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</si>
  <si>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</si>
  <si>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</si>
  <si>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</si>
  <si>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</si>
  <si>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</si>
  <si>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</si>
  <si>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</si>
  <si>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</si>
  <si>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</si>
  <si>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</si>
  <si>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</si>
  <si>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</si>
  <si>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</si>
  <si>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</si>
  <si>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</si>
  <si>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</si>
  <si>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</si>
  <si>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</si>
  <si>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</si>
  <si>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</si>
  <si>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</si>
  <si>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</si>
  <si>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</si>
  <si>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</si>
  <si>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</si>
  <si>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</si>
  <si>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</si>
  <si>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</si>
  <si>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</si>
  <si>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</si>
  <si>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</si>
  <si>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</si>
  <si>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</si>
  <si>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</si>
  <si>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</si>
  <si>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</si>
  <si>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</si>
  <si>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</si>
  <si>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</si>
  <si>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</si>
  <si>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</si>
  <si>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</si>
  <si>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</si>
  <si>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</si>
  <si>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</si>
  <si>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</si>
  <si>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</si>
  <si>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</si>
  <si>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</si>
  <si>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</si>
  <si>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</si>
  <si>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</si>
  <si>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</si>
  <si>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</si>
  <si>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</si>
  <si>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</si>
  <si>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</si>
  <si>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</si>
  <si>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</si>
  <si>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</si>
  <si>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</si>
  <si>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</si>
  <si>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</si>
  <si>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</si>
  <si>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</si>
  <si>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</si>
  <si>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</si>
  <si>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</si>
  <si>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</si>
  <si>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</si>
  <si>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</si>
  <si>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</si>
  <si>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</si>
  <si>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</si>
  <si>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</si>
  <si>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</si>
  <si>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</si>
  <si>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</si>
  <si>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</si>
  <si>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</si>
  <si>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</si>
  <si>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</si>
  <si>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</si>
  <si>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</si>
  <si>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</si>
  <si>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</si>
  <si>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</si>
  <si>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</si>
  <si>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</si>
  <si>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</si>
  <si>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</si>
  <si>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</si>
  <si>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</si>
  <si>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</si>
  <si>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</si>
  <si>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</si>
  <si>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</si>
  <si>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</si>
  <si>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</si>
  <si>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</si>
  <si>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</si>
  <si>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</si>
  <si>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</si>
  <si>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</si>
  <si>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</si>
  <si>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</si>
  <si>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</si>
  <si>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</si>
  <si>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</si>
  <si>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</si>
  <si>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</si>
  <si>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</si>
  <si>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</si>
  <si>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</si>
  <si>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</si>
  <si>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</si>
  <si>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</si>
  <si>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</si>
  <si>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</si>
  <si>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</si>
  <si>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</si>
  <si>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</si>
  <si>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</si>
  <si>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</si>
  <si>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</si>
  <si>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</si>
  <si>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</si>
  <si>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</si>
  <si>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</si>
  <si>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</si>
  <si>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</si>
  <si>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</si>
  <si>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</si>
  <si>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</si>
  <si>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</si>
  <si>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</si>
  <si>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</si>
  <si>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</si>
  <si>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</si>
  <si>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</si>
  <si>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</si>
  <si>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</si>
  <si>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</si>
  <si>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</si>
  <si>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</si>
  <si>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</si>
  <si>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</si>
  <si>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</si>
  <si>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</si>
  <si>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</si>
  <si>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</si>
  <si>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</si>
  <si>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</si>
  <si>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</si>
  <si>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</si>
  <si>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</si>
  <si>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</si>
  <si>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</si>
  <si>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</si>
  <si>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</si>
  <si>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</si>
  <si>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</si>
  <si>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</si>
  <si>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</si>
  <si>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</si>
  <si>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</si>
  <si>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</si>
  <si>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</si>
  <si>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</si>
  <si>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</si>
  <si>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</si>
  <si>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</si>
  <si>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</si>
  <si>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</si>
  <si>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</si>
  <si>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</si>
  <si>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</si>
  <si>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</si>
  <si>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</si>
  <si>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</si>
  <si>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</si>
  <si>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</si>
  <si>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</si>
  <si>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</si>
  <si>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</si>
  <si>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</si>
  <si>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</si>
  <si>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</si>
  <si>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</si>
  <si>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</si>
  <si>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</si>
  <si>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</si>
  <si>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</si>
  <si>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</si>
  <si>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</si>
  <si>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</si>
  <si>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</si>
  <si>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</si>
  <si>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</si>
  <si>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</si>
  <si>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</si>
  <si>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</si>
  <si>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</si>
  <si>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</si>
  <si>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</si>
  <si>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</si>
  <si>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</si>
  <si>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</si>
  <si>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</si>
  <si>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</si>
  <si>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</si>
  <si>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</si>
  <si>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</si>
  <si>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</si>
  <si>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</si>
  <si>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</si>
  <si>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</si>
  <si>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</si>
  <si>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</si>
  <si>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</si>
  <si>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</si>
  <si>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</si>
  <si>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</si>
  <si>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</si>
  <si>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</si>
  <si>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</si>
  <si>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</si>
  <si>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</si>
  <si>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</si>
  <si>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</si>
  <si>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</si>
  <si>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</si>
  <si>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</si>
  <si>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</si>
  <si>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</si>
  <si>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</si>
  <si>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</si>
  <si>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</si>
  <si>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</si>
  <si>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</si>
  <si>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</si>
  <si>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</si>
  <si>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</si>
  <si>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</si>
  <si>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</si>
  <si>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</si>
  <si>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</si>
  <si>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</si>
  <si>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</si>
  <si>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</si>
  <si>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</si>
  <si>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</si>
  <si>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</si>
  <si>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</si>
  <si>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</si>
  <si>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</si>
  <si>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</si>
  <si>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</si>
  <si>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</si>
  <si>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</si>
  <si>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</si>
  <si>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</si>
  <si>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</si>
  <si>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</si>
  <si>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</si>
  <si>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</si>
  <si>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</si>
  <si>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</si>
  <si>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</si>
  <si>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</si>
  <si>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</si>
  <si>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</si>
  <si>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</si>
  <si>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</si>
  <si>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</si>
  <si>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</si>
  <si>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</si>
  <si>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</si>
  <si>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</si>
  <si>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</si>
  <si>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</si>
  <si>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</si>
  <si>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</si>
  <si>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</si>
  <si>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</si>
  <si>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</si>
  <si>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</si>
  <si>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</si>
  <si>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</si>
  <si>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</si>
  <si>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</si>
  <si>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</si>
  <si>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</si>
  <si>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</si>
  <si>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</si>
  <si>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</si>
  <si>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</si>
  <si>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</si>
  <si>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</si>
  <si>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</si>
  <si>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</si>
  <si>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</si>
  <si>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</si>
  <si>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</si>
  <si>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</si>
  <si>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</si>
  <si>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</si>
  <si>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</si>
  <si>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</si>
  <si>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</si>
  <si>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</si>
  <si>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</si>
  <si>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</si>
  <si>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</si>
  <si>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</si>
  <si>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</si>
  <si>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</si>
  <si>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</si>
  <si>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</si>
  <si>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</si>
  <si>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</si>
  <si>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</si>
  <si>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</si>
  <si>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</si>
  <si>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</si>
  <si>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</si>
  <si>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</si>
  <si>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</si>
  <si>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</si>
  <si>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</si>
  <si>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</si>
  <si>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</si>
  <si>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</si>
  <si>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</si>
  <si>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</si>
  <si>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</si>
  <si>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</si>
  <si>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</si>
  <si>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</si>
  <si>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</si>
  <si>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</si>
  <si>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</si>
  <si>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</si>
  <si>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</si>
  <si>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</si>
  <si>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</si>
  <si>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</si>
  <si>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</si>
  <si>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</si>
  <si>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</si>
  <si>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</si>
  <si>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</si>
  <si>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</si>
  <si>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</si>
  <si>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</si>
  <si>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</si>
  <si>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</si>
  <si>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</si>
  <si>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</si>
  <si>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</si>
  <si>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</si>
  <si>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</si>
  <si>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</si>
  <si>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</si>
  <si>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</si>
  <si>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</si>
  <si>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</si>
  <si>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</si>
  <si>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</si>
  <si>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</si>
  <si>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</si>
  <si>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</si>
  <si>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</si>
  <si>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</si>
  <si>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</si>
  <si>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</si>
  <si>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</si>
  <si>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</si>
  <si>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</si>
  <si>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</si>
  <si>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</si>
  <si>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</si>
  <si>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</si>
  <si>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</si>
  <si>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</si>
  <si>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</si>
  <si>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</si>
  <si>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</si>
  <si>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</si>
  <si>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</si>
  <si>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</si>
  <si>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</si>
  <si>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</si>
  <si>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</si>
  <si>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</si>
  <si>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</si>
  <si>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</si>
  <si>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</si>
  <si>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</si>
  <si>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</si>
  <si>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</si>
  <si>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</si>
  <si>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</si>
  <si>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</si>
  <si>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</si>
  <si>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</si>
  <si>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</si>
  <si>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</si>
  <si>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</si>
  <si>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</si>
  <si>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</si>
  <si>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</si>
  <si>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</si>
  <si>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</si>
  <si>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</si>
  <si>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</si>
  <si>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</si>
  <si>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</si>
  <si>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</si>
  <si>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</si>
  <si>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</si>
  <si>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</si>
  <si>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</si>
  <si>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</si>
  <si>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</si>
  <si>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</si>
  <si>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</si>
  <si>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</si>
  <si>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</si>
  <si>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</si>
  <si>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</si>
  <si>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</si>
  <si>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</si>
  <si>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</si>
  <si>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</si>
  <si>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</si>
  <si>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</si>
  <si>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</si>
  <si>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</si>
  <si>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</si>
  <si>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</si>
  <si>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</si>
  <si>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</si>
  <si>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</si>
  <si>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</si>
  <si>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</si>
  <si>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</si>
  <si>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</si>
  <si>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</si>
  <si>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</si>
  <si>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</si>
  <si>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</si>
  <si>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</si>
  <si>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</si>
  <si>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</si>
  <si>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</si>
  <si>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</si>
  <si>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</si>
  <si>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</si>
  <si>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</si>
  <si>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</si>
  <si>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</si>
  <si>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</si>
  <si>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</si>
  <si>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</si>
  <si>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</si>
  <si>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</si>
  <si>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</si>
  <si>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</si>
  <si>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</si>
  <si>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</si>
  <si>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</si>
  <si>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</si>
  <si>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</si>
  <si>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</si>
  <si>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</si>
  <si>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</si>
  <si>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</si>
  <si>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</si>
  <si>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</si>
  <si>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</si>
  <si>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</si>
  <si>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</si>
  <si>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</si>
  <si>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</si>
  <si>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</si>
  <si>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</si>
  <si>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</si>
  <si>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</si>
  <si>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</si>
  <si>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</si>
  <si>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</si>
  <si>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</si>
  <si>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</si>
  <si>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</si>
  <si>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</si>
  <si>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</si>
  <si>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</si>
  <si>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</si>
  <si>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</si>
  <si>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</si>
  <si>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</si>
  <si>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</si>
  <si>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</si>
  <si>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</si>
  <si>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</si>
  <si>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</si>
  <si>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</si>
  <si>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</si>
  <si>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</si>
  <si>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</si>
  <si>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</si>
  <si>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</si>
  <si>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</si>
  <si>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</si>
  <si>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</si>
  <si>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</si>
  <si>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</si>
  <si>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</si>
  <si>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</si>
  <si>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</si>
  <si>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</si>
  <si>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</si>
  <si>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</si>
  <si>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</si>
  <si>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</si>
  <si>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</si>
  <si>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</si>
  <si>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</si>
  <si>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</si>
  <si>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</si>
  <si>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</si>
  <si>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</si>
  <si>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</si>
  <si>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</si>
  <si>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</si>
  <si>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</si>
  <si>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</si>
  <si>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</si>
  <si>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</si>
  <si>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</si>
  <si>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</si>
  <si>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</si>
  <si>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</si>
  <si>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</si>
  <si>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</si>
  <si>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</si>
  <si>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</si>
  <si>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</si>
  <si>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</si>
  <si>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</si>
  <si>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</si>
  <si>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</si>
  <si>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</si>
  <si>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</si>
  <si>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</si>
  <si>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</si>
  <si>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</si>
  <si>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</si>
  <si>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</si>
  <si>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</si>
  <si>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</si>
  <si>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</si>
  <si>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</si>
  <si>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</si>
  <si>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</si>
  <si>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</si>
  <si>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</si>
  <si>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</si>
  <si>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</si>
  <si>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</si>
  <si>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</si>
  <si>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</si>
  <si>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</si>
  <si>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</si>
  <si>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</si>
  <si>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</si>
  <si>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</si>
  <si>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</si>
  <si>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</si>
  <si>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</si>
  <si>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</si>
  <si>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</si>
  <si>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</si>
  <si>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</si>
  <si>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</si>
  <si>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</si>
  <si>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</si>
  <si>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</si>
  <si>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</si>
  <si>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</si>
  <si>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</si>
  <si>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</si>
  <si>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</si>
  <si>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</si>
  <si>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</si>
  <si>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</si>
  <si>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</si>
  <si>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</si>
  <si>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</si>
  <si>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</si>
  <si>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</si>
  <si>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</si>
  <si>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</si>
  <si>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</si>
  <si>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</si>
  <si>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</si>
  <si>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</si>
  <si>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</si>
  <si>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</si>
  <si>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</si>
  <si>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</si>
  <si>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</si>
  <si>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</si>
  <si>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</si>
  <si>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</si>
  <si>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</si>
  <si>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</si>
  <si>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</si>
  <si>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</si>
  <si>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</si>
  <si>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</si>
  <si>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</si>
  <si>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</si>
  <si>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</si>
  <si>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</si>
  <si>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</si>
  <si>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</si>
  <si>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</si>
  <si>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</si>
  <si>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</si>
  <si>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</si>
  <si>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</si>
  <si>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</si>
  <si>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</si>
  <si>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</si>
  <si>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</si>
  <si>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</si>
  <si>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</si>
  <si>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</si>
  <si>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</si>
  <si>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</si>
  <si>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</si>
  <si>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</si>
  <si>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</si>
  <si>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</si>
  <si>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</si>
  <si>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</si>
  <si>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</si>
  <si>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</si>
  <si>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</si>
  <si>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</si>
  <si>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</si>
  <si>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</si>
  <si>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</si>
  <si>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</si>
  <si>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</si>
  <si>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</si>
  <si>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</si>
  <si>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</si>
  <si>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</si>
  <si>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</si>
  <si>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</si>
  <si>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</si>
  <si>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</si>
  <si>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</si>
  <si>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</si>
  <si>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</si>
  <si>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</si>
  <si>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</si>
  <si>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</si>
  <si>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</si>
  <si>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</si>
  <si>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</si>
  <si>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</si>
  <si>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</si>
  <si>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</si>
  <si>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</si>
  <si>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</si>
  <si>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</si>
  <si>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</si>
  <si>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</si>
  <si>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</si>
  <si>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</si>
  <si>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</si>
  <si>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</si>
  <si>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</si>
  <si>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</si>
  <si>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</si>
  <si>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</si>
  <si>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</si>
  <si>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</si>
  <si>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</si>
  <si>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</si>
  <si>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</si>
  <si>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</si>
  <si>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</si>
  <si>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</si>
  <si>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</si>
  <si>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</si>
  <si>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</si>
  <si>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</si>
  <si>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</si>
  <si>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</si>
  <si>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</si>
  <si>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</si>
  <si>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</si>
  <si>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</si>
  <si>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</si>
  <si>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</si>
  <si>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</si>
  <si>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</si>
  <si>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</si>
  <si>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</si>
  <si>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</si>
  <si>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</si>
  <si>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</si>
  <si>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</si>
  <si>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</si>
  <si>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</si>
  <si>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</si>
  <si>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</si>
  <si>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</si>
  <si>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</si>
  <si>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</si>
  <si>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</si>
  <si>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</si>
  <si>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</si>
  <si>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</si>
  <si>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</si>
  <si>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</si>
  <si>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</si>
  <si>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</si>
  <si>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</si>
  <si>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</si>
  <si>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</si>
  <si>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</si>
  <si>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</si>
  <si>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</si>
  <si>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</si>
  <si>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</si>
  <si>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</si>
  <si>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</si>
  <si>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</si>
  <si>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</si>
  <si>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</si>
  <si>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</si>
  <si>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</si>
  <si>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</si>
  <si>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</si>
  <si>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</si>
  <si>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</si>
  <si>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</si>
  <si>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</si>
  <si>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</si>
  <si>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</si>
  <si>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</si>
  <si>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</si>
  <si>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</si>
  <si>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</si>
  <si>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</si>
  <si>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</si>
  <si>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</si>
  <si>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</si>
  <si>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</si>
  <si>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</si>
  <si>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</si>
  <si>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</si>
  <si>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</si>
  <si>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</si>
  <si>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</si>
  <si>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</si>
  <si>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</si>
  <si>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</si>
  <si>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</si>
  <si>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</si>
  <si>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</si>
  <si>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</si>
  <si>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</si>
  <si>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</si>
  <si>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</si>
  <si>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</si>
  <si>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</si>
  <si>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</si>
  <si>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</si>
  <si>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</si>
  <si>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</si>
  <si>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</si>
  <si>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</si>
  <si>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</si>
  <si>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</si>
  <si>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</si>
  <si>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</si>
  <si>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</si>
  <si>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</si>
  <si>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</si>
  <si>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</si>
  <si>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</si>
  <si>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</si>
  <si>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</si>
  <si>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</si>
  <si>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</si>
  <si>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</si>
  <si>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</si>
  <si>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</si>
  <si>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</si>
  <si>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</si>
  <si>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</si>
  <si>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</si>
  <si>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</si>
  <si>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</si>
  <si>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</si>
  <si>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</si>
  <si>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</si>
  <si>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</si>
  <si>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</si>
  <si>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</si>
  <si>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</si>
  <si>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</si>
  <si>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</si>
  <si>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</si>
  <si>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</si>
  <si>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</si>
  <si>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</si>
  <si>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</si>
  <si>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</si>
  <si>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</si>
  <si>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</si>
  <si>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</si>
  <si>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</si>
  <si>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</si>
  <si>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</si>
  <si>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</si>
  <si>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</si>
  <si>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</si>
  <si>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</si>
  <si>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</si>
  <si>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</si>
  <si>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</si>
  <si>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</si>
  <si>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</si>
  <si>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</si>
  <si>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</si>
  <si>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</si>
  <si>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</si>
  <si>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</si>
  <si>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</si>
  <si>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</si>
  <si>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</si>
  <si>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</si>
  <si>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</si>
  <si>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</si>
  <si>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</si>
  <si>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</si>
  <si>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</si>
  <si>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</si>
  <si>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</si>
  <si>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</si>
  <si>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</si>
  <si>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</si>
  <si>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</si>
  <si>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</si>
  <si>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</si>
  <si>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</si>
  <si>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</si>
  <si>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</si>
  <si>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</si>
  <si>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</si>
  <si>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</si>
  <si>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</si>
  <si>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</si>
  <si>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</si>
  <si>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</si>
  <si>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</si>
  <si>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</si>
  <si>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</si>
  <si>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</si>
  <si>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</si>
  <si>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</si>
  <si>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</si>
  <si>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</si>
  <si>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</si>
  <si>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</si>
  <si>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</si>
  <si>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</si>
  <si>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</si>
  <si>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</si>
  <si>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</si>
  <si>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</si>
  <si>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</si>
  <si>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</si>
  <si>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</si>
  <si>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</si>
  <si>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</si>
  <si>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</si>
  <si>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</si>
  <si>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</si>
  <si>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</si>
  <si>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</si>
  <si>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</si>
  <si>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</si>
  <si>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</si>
  <si>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</si>
  <si>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</si>
  <si>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</si>
  <si>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</si>
  <si>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</si>
  <si>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</si>
  <si>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</si>
  <si>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</si>
  <si>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</si>
  <si>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</si>
  <si>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</si>
  <si>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</si>
  <si>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</si>
  <si>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</si>
  <si>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</si>
  <si>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</si>
  <si>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</si>
  <si>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</si>
  <si>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</si>
  <si>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</si>
  <si>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</si>
  <si>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</si>
  <si>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</si>
  <si>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</si>
  <si>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</si>
  <si>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</si>
  <si>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</si>
  <si>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</si>
  <si>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</si>
  <si>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</si>
  <si>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</si>
  <si>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</si>
  <si>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</si>
  <si>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</si>
  <si>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</si>
  <si>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</si>
  <si>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</si>
  <si>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</si>
  <si>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</si>
  <si>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</si>
  <si>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</si>
  <si>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</si>
  <si>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</si>
  <si>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</si>
  <si>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</si>
  <si>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</si>
  <si>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</si>
  <si>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</si>
  <si>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</si>
  <si>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</si>
  <si>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</si>
  <si>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</si>
  <si>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</si>
  <si>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</si>
  <si>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</si>
  <si>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</si>
  <si>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</si>
  <si>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</si>
  <si>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</si>
  <si>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</si>
  <si>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</si>
  <si>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</si>
  <si>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</si>
  <si>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</si>
  <si>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</si>
  <si>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</si>
  <si>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</si>
  <si>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</si>
  <si>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</si>
  <si>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</si>
  <si>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</si>
  <si>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</si>
  <si>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</si>
  <si>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</si>
  <si>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</si>
  <si>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</si>
  <si>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</si>
  <si>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</si>
  <si>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</si>
  <si>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</si>
  <si>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</si>
  <si>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</si>
  <si>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</si>
  <si>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</si>
  <si>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</si>
  <si>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</si>
  <si>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</si>
  <si>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</si>
  <si>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</si>
  <si>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</si>
  <si>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</si>
  <si>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</si>
  <si>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</si>
  <si>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</si>
  <si>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</si>
  <si>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</si>
  <si>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</si>
  <si>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</si>
  <si>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</si>
  <si>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</si>
  <si>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</si>
  <si>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</si>
  <si>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</si>
  <si>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</si>
  <si>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</si>
  <si>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</si>
  <si>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</si>
  <si>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</si>
  <si>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</si>
  <si>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</si>
  <si>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</si>
  <si>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</si>
  <si>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</si>
  <si>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</si>
  <si>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</si>
  <si>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</si>
  <si>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</si>
  <si>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</si>
  <si>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</si>
  <si>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</si>
  <si>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</si>
  <si>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</si>
  <si>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</si>
  <si>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</si>
  <si>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</si>
  <si>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</si>
  <si>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</si>
  <si>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</si>
  <si>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</si>
  <si>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</si>
  <si>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</si>
  <si>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</si>
  <si>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</si>
  <si>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</si>
  <si>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</si>
  <si>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</si>
  <si>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</si>
  <si>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</si>
  <si>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</si>
  <si>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</si>
  <si>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</si>
  <si>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</si>
  <si>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</si>
  <si>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</si>
  <si>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</si>
  <si>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</si>
  <si>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</si>
  <si>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</si>
  <si>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</si>
  <si>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</si>
  <si>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</si>
  <si>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</si>
  <si>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</si>
  <si>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</si>
  <si>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</si>
  <si>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</si>
  <si>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</si>
  <si>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</si>
  <si>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</si>
  <si>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</si>
  <si>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</si>
  <si>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</si>
  <si>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</si>
  <si>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</si>
  <si>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</si>
  <si>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</si>
  <si>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</si>
  <si>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</si>
  <si>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</si>
  <si>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</si>
  <si>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</si>
  <si>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</si>
  <si>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</si>
  <si>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</si>
  <si>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</si>
  <si>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</si>
  <si>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</si>
  <si>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</si>
  <si>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</si>
  <si>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</si>
  <si>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</si>
  <si>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</si>
  <si>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</si>
  <si>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</si>
  <si>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</si>
  <si>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</si>
  <si>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</si>
  <si>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</si>
  <si>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</si>
  <si>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</si>
  <si>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</si>
  <si>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</si>
  <si>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</si>
  <si>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</si>
  <si>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</si>
  <si>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</si>
  <si>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</si>
  <si>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</si>
  <si>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</si>
  <si>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</si>
  <si>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</si>
  <si>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</si>
  <si>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</si>
  <si>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</si>
  <si>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</si>
  <si>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</si>
  <si>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</si>
  <si>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</si>
  <si>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</si>
  <si>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</si>
  <si>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</si>
  <si>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</si>
  <si>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</si>
  <si>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</si>
  <si>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</si>
  <si>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</si>
  <si>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</si>
  <si>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</si>
  <si>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</si>
  <si>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</si>
  <si>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</si>
  <si>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</si>
  <si>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</si>
  <si>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</si>
  <si>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</si>
  <si>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</si>
  <si>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</si>
  <si>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</si>
  <si>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</si>
  <si>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</si>
  <si>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</si>
  <si>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</si>
  <si>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</si>
  <si>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</si>
  <si>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</si>
  <si>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</si>
  <si>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</si>
  <si>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</si>
  <si>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</si>
  <si>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</si>
  <si>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</si>
  <si>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</si>
  <si>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</si>
  <si>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</si>
  <si>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</si>
  <si>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</si>
  <si>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</si>
  <si>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</si>
  <si>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</si>
  <si>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</si>
  <si>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</si>
  <si>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</si>
  <si>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</si>
  <si>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</si>
  <si>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</si>
  <si>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</si>
  <si>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</si>
  <si>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</si>
  <si>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</si>
  <si>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</si>
  <si>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</si>
  <si>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</si>
  <si>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</si>
  <si>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</si>
  <si>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</si>
  <si>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</si>
  <si>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</si>
  <si>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</si>
  <si>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</si>
  <si>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</si>
  <si>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</si>
  <si>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</si>
  <si>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</si>
  <si>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</si>
  <si>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</si>
  <si>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</si>
  <si>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</si>
  <si>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</si>
  <si>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</si>
  <si>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</si>
  <si>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</si>
  <si>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</si>
  <si>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</si>
  <si>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</si>
  <si>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</si>
  <si>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</si>
  <si>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</si>
  <si>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</si>
  <si>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</si>
  <si>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</si>
  <si>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</si>
  <si>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</si>
  <si>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</si>
  <si>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</si>
  <si>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</si>
  <si>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</si>
  <si>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</si>
  <si>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</si>
  <si>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</si>
  <si>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</si>
  <si>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</si>
  <si>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</si>
  <si>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</si>
  <si>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</si>
  <si>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Cutting off Kate Bush</t>
  </si>
  <si>
    <t>Goal</t>
  </si>
  <si>
    <t>Pledged</t>
  </si>
  <si>
    <t>Backers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</si>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</sst>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44" fontId="1" fillId="0" borderId="0" xfId="0" applyNumberFormat="1" applyFont="1" applyAlignment="1">
      <alignment horizontal="left" vertical="center" wrapText="1"/>
    </xf>
    <xf numFmtId="44" fontId="0" fillId="0" borderId="0" xfId="0" applyNumberFormat="1" applyAlignment="1">
      <alignment horizontal="left" vertical="center" wrapText="1"/>
    </xf>
    <xf numFmtId="4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left" vertical="center" wrapText="1"/>
    </xf>
    <xf numFmtId="0" fontId="0" fillId="0" borderId="0" xfId="0" applyNumberFormat="1" applyAlignment="1">
      <alignment horizontal="left" vertical="center" wrapText="1"/>
    </xf>
    <xf numFmtId="0" fontId="1" fillId="0" borderId="0" xfId="0" applyFont="1"/>
    <xf numFmtId="9" fontId="0" fillId="0" borderId="0" xfId="0" applyNumberFormat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Based On Launch!PivotTable1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1-4AC2-8F31-43826EBBC9E8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1-4AC2-8F31-43826EBBC9E8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1-4AC2-8F31-43826EBB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869088"/>
        <c:axId val="776611280"/>
      </c:lineChart>
      <c:catAx>
        <c:axId val="71386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11280"/>
        <c:crosses val="autoZero"/>
        <c:auto val="1"/>
        <c:lblAlgn val="ctr"/>
        <c:lblOffset val="100"/>
        <c:noMultiLvlLbl val="0"/>
      </c:catAx>
      <c:valAx>
        <c:axId val="77661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6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0-4E37-BB21-96F4447FE7B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20-4E37-BB21-96F4447FE7B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20-4E37-BB21-96F4447FE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6569024"/>
        <c:axId val="776636656"/>
      </c:lineChart>
      <c:catAx>
        <c:axId val="80656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36656"/>
        <c:crosses val="autoZero"/>
        <c:auto val="1"/>
        <c:lblAlgn val="ctr"/>
        <c:lblOffset val="100"/>
        <c:noMultiLvlLbl val="0"/>
      </c:catAx>
      <c:valAx>
        <c:axId val="77663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56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(Module)!PivotTable1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Company Outcomes</a:t>
            </a:r>
          </a:p>
        </c:rich>
      </c:tx>
      <c:layout>
        <c:manualLayout>
          <c:xMode val="edge"/>
          <c:yMode val="edge"/>
          <c:x val="0.37612811936414087"/>
          <c:y val="5.4803542815575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 (Module)'!$B$4:$B$5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(Module)'!$A$6:$A$7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(Module)'!$B$6:$B$7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0-4EB1-9EEF-5043E9E953CF}"/>
            </c:ext>
          </c:extLst>
        </c:ser>
        <c:ser>
          <c:idx val="1"/>
          <c:order val="1"/>
          <c:tx>
            <c:strRef>
              <c:f>'Category Statistics (Module)'!$C$4:$C$5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(Module)'!$A$6:$A$7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(Module)'!$C$6:$C$7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F0-4EB1-9EEF-5043E9E953CF}"/>
            </c:ext>
          </c:extLst>
        </c:ser>
        <c:ser>
          <c:idx val="2"/>
          <c:order val="2"/>
          <c:tx>
            <c:strRef>
              <c:f>'Category Statistics (Module)'!$D$4:$D$5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(Module)'!$A$6:$A$7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(Module)'!$D$6:$D$7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F0-4EB1-9EEF-5043E9E953CF}"/>
            </c:ext>
          </c:extLst>
        </c:ser>
        <c:ser>
          <c:idx val="3"/>
          <c:order val="3"/>
          <c:tx>
            <c:strRef>
              <c:f>'Category Statistics (Module)'!$E$4:$E$5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(Module)'!$A$6:$A$7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(Module)'!$E$6:$E$7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F0-4EB1-9EEF-5043E9E95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276496"/>
        <c:axId val="1012428416"/>
      </c:barChart>
      <c:catAx>
        <c:axId val="1162276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428416"/>
        <c:crosses val="autoZero"/>
        <c:auto val="1"/>
        <c:lblAlgn val="ctr"/>
        <c:lblOffset val="100"/>
        <c:noMultiLvlLbl val="0"/>
      </c:catAx>
      <c:valAx>
        <c:axId val="10124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27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(Module)!PivotTable2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9149894372959478"/>
          <c:y val="6.03403955948805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(Module)'!$B$4:$B$5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(Module)'!$A$6:$A$7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(Module)'!$B$6:$B$7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F-4F9F-8422-F4B751BD8C4B}"/>
            </c:ext>
          </c:extLst>
        </c:ser>
        <c:ser>
          <c:idx val="1"/>
          <c:order val="1"/>
          <c:tx>
            <c:strRef>
              <c:f>'Subcategory Statistics (Module)'!$C$4:$C$5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(Module)'!$A$6:$A$7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(Module)'!$C$6:$C$7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0F-4F9F-8422-F4B751BD8C4B}"/>
            </c:ext>
          </c:extLst>
        </c:ser>
        <c:ser>
          <c:idx val="2"/>
          <c:order val="2"/>
          <c:tx>
            <c:strRef>
              <c:f>'Subcategory Statistics (Module)'!$D$4:$D$5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(Module)'!$A$6:$A$7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(Module)'!$D$6:$D$7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0F-4F9F-8422-F4B751BD8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2287696"/>
        <c:axId val="1012424256"/>
      </c:barChart>
      <c:catAx>
        <c:axId val="116228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424256"/>
        <c:crosses val="autoZero"/>
        <c:auto val="1"/>
        <c:lblAlgn val="ctr"/>
        <c:lblOffset val="100"/>
        <c:noMultiLvlLbl val="0"/>
      </c:catAx>
      <c:valAx>
        <c:axId val="10124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2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1</xdr:row>
      <xdr:rowOff>0</xdr:rowOff>
    </xdr:from>
    <xdr:to>
      <xdr:col>15</xdr:col>
      <xdr:colOff>480060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0641E-C36B-4F33-9785-DA69E31C2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13</xdr:row>
      <xdr:rowOff>60960</xdr:rowOff>
    </xdr:from>
    <xdr:to>
      <xdr:col>15</xdr:col>
      <xdr:colOff>190500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F573E8-019B-4B64-B9F5-648CAE6BE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1</xdr:row>
      <xdr:rowOff>45720</xdr:rowOff>
    </xdr:from>
    <xdr:to>
      <xdr:col>15</xdr:col>
      <xdr:colOff>594360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E2BB6-AAA0-4023-9B42-7817EA0B6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76200</xdr:rowOff>
    </xdr:from>
    <xdr:to>
      <xdr:col>16</xdr:col>
      <xdr:colOff>281940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5DB0A-7921-4D1E-A9CB-516D8543D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Parihar" refreshedDate="44007.897219560182" createdVersion="6" refreshedVersion="6" minRefreshableVersion="3" recordCount="4114" xr:uid="{FB41BDF4-7A15-49EC-B59E-9E68A88B22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Parihar" refreshedDate="44008.927635300926" createdVersion="6" refreshedVersion="6" minRefreshableVersion="3" recordCount="4114" xr:uid="{C29FBA01-5729-42B3-9200-B00A16F4D09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4FD38-9814-4F55-AD4A-51FBFBD1F50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83D1C-1DB3-4417-B173-C4CE69DFBD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83487-4E03-4A46-B155-8BECB731055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77734375" defaultRowHeight="14.4" x14ac:dyDescent="0.3"/>
  <cols>
    <col min="1" max="1" width="7.21875" bestFit="1" customWidth="1"/>
    <col min="2" max="2" width="38.44140625" style="3" customWidth="1"/>
    <col min="3" max="3" width="79.109375" style="3" bestFit="1" customWidth="1"/>
    <col min="4" max="4" width="16.33203125" style="6" bestFit="1" customWidth="1"/>
    <col min="5" max="5" width="13" style="8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20.6640625" style="6" bestFit="1" customWidth="1"/>
    <col min="17" max="17" width="19.21875" bestFit="1" customWidth="1"/>
    <col min="18" max="18" width="16" bestFit="1" customWidth="1"/>
    <col min="19" max="19" width="26.6640625" style="15" bestFit="1" customWidth="1"/>
    <col min="20" max="20" width="25.21875" bestFit="1" customWidth="1"/>
    <col min="21" max="21" width="10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0" t="s">
        <v>8358</v>
      </c>
      <c r="R1" s="10" t="s">
        <v>8359</v>
      </c>
      <c r="S1" s="14" t="s">
        <v>8365</v>
      </c>
      <c r="T1" s="14" t="s">
        <v>8366</v>
      </c>
      <c r="U1" s="14" t="s">
        <v>8372</v>
      </c>
    </row>
    <row r="2" spans="1:21" ht="28.8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6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6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28.8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28.8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28.8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28.8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28.8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28.8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28.8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28.8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28.8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28.8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28.8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28.8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28.8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28.8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28.8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28.8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28.8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28.8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28.8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28.8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28.8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28.8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28.8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28.8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28.8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28.8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28.8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28.8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28.8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28.8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28.8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28.8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28.8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28.8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28.8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28.8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28.8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28.8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28.8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28.8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28.8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28.8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28.8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28.8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28.8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28.8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28.8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6">
        <f t="shared" ref="P66:P129" si="6">IFERROR(ROUND(E66/L66,2),0)</f>
        <v>86.67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28.8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6">
        <f t="shared" si="6"/>
        <v>132.05000000000001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28.8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28.8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28.8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28.8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28.8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28.8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28.8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28.8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28.8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72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28.8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28.8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28.8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28.8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28.8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28.8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28.8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28.8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28.8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28.8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28.8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28.8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28.8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28.8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28.8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28.8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28.8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28.8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28.8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28.8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28.8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28.8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28.8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28.8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28.8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28.8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28.8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28.8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28.8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28.8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28.8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28.8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28.8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28.8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6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28.8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6">
        <f t="shared" si="11"/>
        <v>0</v>
      </c>
      <c r="Q131" s="11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28.8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28.8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28.8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28.8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28.8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28.8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28.8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28.8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28.8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28.8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28.8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28.8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28.8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28.8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28.8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28.8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28.8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28.8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28.8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28.8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28.8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28.8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28.8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28.8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28.8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28.8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28.8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28.8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28.8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28.8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28.8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28.8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28.8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28.8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28.8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28.8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28.8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28.8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28.8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28.8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28.8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28.8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28.8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6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28.8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6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28.8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28.8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28.8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28.8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28.8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28.8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28.8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28.8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28.8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28.8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28.8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28.8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28.8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28.8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28.8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28.8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28.8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28.8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28.8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28.8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28.8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28.8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28.8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28.8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28.8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28.8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28.8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28.8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28.8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28.8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28.8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28.8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28.8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28.8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28.8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28.8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28.8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28.8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28.8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28.8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28.8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28.8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28.8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28.8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28.8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28.8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6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28.8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6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28.8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28.8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28.8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28.8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28.8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28.8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28.8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28.8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28.8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28.8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28.8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28.8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28.8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28.8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28.8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28.8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28.8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28.8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28.8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28.8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28.8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28.8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28.8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28.8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28.8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28.8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28.8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28.8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28.8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28.8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28.8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28.8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28.8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28.8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28.8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28.8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28.8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28.8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28.8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28.8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28.8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28.8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28.8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28.8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28.8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28.8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6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6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28.8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28.8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28.8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28.8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28.8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28.8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28.8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28.8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28.8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28.8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28.8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28.8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28.8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28.8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28.8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28.8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28.8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28.8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28.8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28.8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28.8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28.8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28.8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28.8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28.8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28.8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28.8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28.8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28.8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28.8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28.8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28.8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28.8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28.8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28.8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28.8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28.8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28.8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28.8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28.8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28.8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28.8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28.8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28.8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28.8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28.8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28.8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28.8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28.8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28.8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28.8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28.8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28.8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28.8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28.8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6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28.8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6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28.8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28.8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28.8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28.8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28.8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28.8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28.8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28.8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28.8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28.8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28.8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28.8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28.8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28.8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28.8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28.8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28.8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28.8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28.8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28.8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28.8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28.8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28.8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28.8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28.8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28.8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28.8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28.8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28.8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28.8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28.8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28.8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28.8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28.8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28.8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28.8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28.8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28.8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28.8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28.8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28.8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28.8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28.8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28.8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28.8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28.8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28.8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28.8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6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28.8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6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28.8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28.8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28.8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28.8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28.8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28.8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28.8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28.8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28.8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28.8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28.8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28.8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28.8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28.8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28.8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28.8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28.8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28.8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28.8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28.8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28.8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28.8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28.8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28.8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28.8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28.8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28.8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28.8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28.8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28.8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28.8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28.8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28.8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28.8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28.8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28.8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28.8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28.8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28.8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28.8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28.8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28.8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28.8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28.8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28.8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28.8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28.8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28.8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28.8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6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6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1" ht="28.8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28.8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28.8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28.8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28.8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28.8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28.8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28.8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28.8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28.8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28.8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28.8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28.8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28.8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28.8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28.8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28.8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28.8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28.8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28.8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28.8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6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6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28.8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6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28.8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6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28.8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28.8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6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28.8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6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28.8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6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28.8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6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28.8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6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28.8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6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28.8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6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28.8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6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28.8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6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28.8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28.8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6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6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28.8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6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28.8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6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28.8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6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28.8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6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28.8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6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28.8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6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28.8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6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28.8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28.8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6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28.8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6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28.8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6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43.2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6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28.8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6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6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28.8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6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28.8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6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28.8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6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28.8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28.8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6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28.8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6">
        <f t="shared" ref="P578:P641" si="46">IFERROR(ROUND(E578/L578,2),0)</f>
        <v>1</v>
      </c>
      <c r="Q578" s="11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28.8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6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28.8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28.8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28.8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6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6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57.6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6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28.8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6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6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28.8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6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28.8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6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28.8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6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28.8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6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28.8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6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6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28.8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6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6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28.8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6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6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28.8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6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28.8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6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6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28.8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6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28.8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6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28.8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6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28.8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6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28.8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6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6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28.8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6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6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28.8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6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28.8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6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28.8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6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28.8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6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28.8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6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6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6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28.8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6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28.8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6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28.8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6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28.8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6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28.8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6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28.8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6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6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28.8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6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28.8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6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6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6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28.8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6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6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6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28.8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6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6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6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28.8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6">
        <f t="shared" ref="P642:P705" si="51">IFERROR(ROUND(E642/L642,2),0)</f>
        <v>50.5</v>
      </c>
      <c r="Q642" s="11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28.8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6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28.8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28.8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28.8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28.8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6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28.8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6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28.8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6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28.8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6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28.8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6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28.8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6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28.8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6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28.8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6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28.8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6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28.8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6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6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28.8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6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28.8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6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6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28.8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6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28.8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28.8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6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28.8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6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28.8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6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28.8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6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28.8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6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28.8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6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28.8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6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28.8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6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28.8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6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28.8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6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28.8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6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28.8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6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28.8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6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28.8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6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28.8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6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28.8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6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28.8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6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28.8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6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28.8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6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28.8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6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28.8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6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28.8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6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28.8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6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6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28.8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6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28.8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6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6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28.8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28.8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6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6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28.8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6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28.8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6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28.8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6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28.8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6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28.8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6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28.8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6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28.8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6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6">
        <f t="shared" ref="P706:P769" si="56">IFERROR(ROUND(E706/L706,2),0)</f>
        <v>120.25</v>
      </c>
      <c r="Q706" s="11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6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28.8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28.8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28.8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28.8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28.8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6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28.8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6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28.8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28.8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6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28.8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6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6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28.8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6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28.8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6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6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28.8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6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28.8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6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6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28.8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28.8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6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28.8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6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28.8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6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6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28.8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6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6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6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28.8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6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28.8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6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28.8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6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28.8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6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28.8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6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6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28.8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6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28.8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6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6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28.8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6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28.8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6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28.8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6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6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28.8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6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28.8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6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28.8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6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28.8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6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28.8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6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28.8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6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28.8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6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28.8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28.8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6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28.8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6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28.8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6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6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28.8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6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28.8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6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28.8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6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28.8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6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28.8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6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28.8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28.8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6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28.8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6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6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28.8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6">
        <f t="shared" ref="P770:P833" si="61">IFERROR(ROUND(E770/L770,2),0)</f>
        <v>0</v>
      </c>
      <c r="Q770" s="11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28.8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6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28.8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28.8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28.8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28.8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28.8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28.8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6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28.8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6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6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28.8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6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6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28.8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6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28.8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6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28.8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6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28.8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28.8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6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6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28.8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6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28.8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6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28.8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6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28.8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6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28.8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6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6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28.8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6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28.8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28.8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6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28.8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6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28.8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6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28.8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6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28.8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6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6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28.8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6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28.8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6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28.8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6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28.8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28.8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6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6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6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28.8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6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6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28.8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6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6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28.8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6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6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28.8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6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6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28.8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6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28.8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6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6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6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28.8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6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6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6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28.8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6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28.8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6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28.8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6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28.8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6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28.8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6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28.8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6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6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28.8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6">
        <f t="shared" ref="P834:P897" si="66">IFERROR(ROUND(E834/L834,2),0)</f>
        <v>97.99</v>
      </c>
      <c r="Q834" s="11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6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28.8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28.8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28.8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28.8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6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28.8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6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28.8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6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28.8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28.8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28.8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6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6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6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28.8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6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28.8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6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6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6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6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28.8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6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6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28.8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6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6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28.8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6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6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28.8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6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28.8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6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28.8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6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6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28.8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28.8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6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6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28.8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6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28.8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6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28.8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6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28.8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6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28.8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6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28.8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6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6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28.8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28.8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6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6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28.8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6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28.8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6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28.8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6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28.8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6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6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28.8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6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28.8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6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28.8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6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28.8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6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28.8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6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28.8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6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28.8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6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28.8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6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28.8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6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28.8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6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28.8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6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28.8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28.8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6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28.8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6">
        <f t="shared" ref="P898:P961" si="71">IFERROR(ROUND(E898/L898,2),0)</f>
        <v>44.44</v>
      </c>
      <c r="Q898" s="11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28.8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6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28.8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28.8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28.8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28.8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28.8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28.8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6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6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6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6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28.8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6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28.8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6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28.8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6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6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28.8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6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6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6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28.8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6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28.8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6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6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28.8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6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28.8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6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28.8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6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28.8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6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28.8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28.8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6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28.8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6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6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6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28.8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6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28.8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6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28.8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6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6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28.8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6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28.8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28.8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6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6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28.8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6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28.8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6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28.8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6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28.8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6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28.8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6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28.8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6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6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28.8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28.8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6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6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28.8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6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6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28.8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6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6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6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6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28.8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6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28.8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28.8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6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6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6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28.8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6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28.8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6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28.8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6">
        <f t="shared" ref="P962:P1025" si="76">IFERROR(ROUND(E962/L962,2),0)</f>
        <v>136.46</v>
      </c>
      <c r="Q962" s="11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6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28.8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28.8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28.8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28.8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6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6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28.8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6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28.8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6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28.8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6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28.8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6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28.8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28.8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6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28.8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6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28.8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6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28.8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6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28.8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6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28.8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6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28.8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6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6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28.8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6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57.6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28.8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6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28.8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6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28.8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6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6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6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28.8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6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6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28.8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6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28.8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6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28.8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6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6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6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6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6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28.8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6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28.8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6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28.8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6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6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6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28.8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6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6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28.8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6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28.8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6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28.8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6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6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28.8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6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28.8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6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6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6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28.8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6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6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6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28.8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6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6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6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6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28.8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6">
        <f t="shared" ref="P1026:P1089" si="81">IFERROR(ROUND(E1026/L1026,2),0)</f>
        <v>388.98</v>
      </c>
      <c r="Q1026" s="11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6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28.8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28.8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28.8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28.8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6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28.8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6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28.8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28.8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6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6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28.8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6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28.8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6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28.8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6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28.8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6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6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28.8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6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6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28.8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6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28.8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6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6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28.8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6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6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6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28.8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6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28.8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6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28.8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6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28.8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28.8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6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28.8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6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6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28.8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6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6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28.8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6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6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6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28.8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6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28.8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28.8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6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28.8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6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28.8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6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28.8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6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6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28.8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6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28.8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6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28.8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6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6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28.8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6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28.8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6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28.8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6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28.8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6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28.8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6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6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6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6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28.8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6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6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6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28.8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6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6">
        <f t="shared" ref="P1090:P1153" si="86">IFERROR(ROUND(E1090/L1090,2),0)</f>
        <v>43.42</v>
      </c>
      <c r="Q1090" s="11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6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28.8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28.8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28.8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28.8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28.8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28.8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28.8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6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28.8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6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6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28.8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6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28.8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6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6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28.8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6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28.8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6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28.8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28.8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6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28.8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6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28.8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6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28.8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6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28.8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6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28.8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6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28.8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6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6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28.8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6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28.8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28.8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6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6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6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28.8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6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28.8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6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6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6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28.8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6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28.8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6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28.8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28.8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6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6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28.8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6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6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28.8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6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28.8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6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28.8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6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28.8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6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28.8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6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28.8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6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28.8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6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28.8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6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28.8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6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28.8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6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28.8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6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6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28.8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6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28.8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6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28.8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28.8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6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6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28.8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6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6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6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6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28.8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6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6">
        <f t="shared" ref="P1154:P1217" si="91">IFERROR(ROUND(E1154/L1154,2),0)</f>
        <v>60.73</v>
      </c>
      <c r="Q1154" s="11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6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28.8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28.8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28.8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28.8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28.8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28.8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28.8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6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28.8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6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28.8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6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28.8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6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28.8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6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28.8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6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6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6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28.8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6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28.8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6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6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6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28.8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6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6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43.2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6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28.8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6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28.8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6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28.8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6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6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6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28.8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6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28.8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6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28.8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28.8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6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28.8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6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28.8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6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6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28.8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6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6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28.8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6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6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28.8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6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28.8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43.2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6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6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28.8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6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28.8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6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28.8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6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28.8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6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28.8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6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28.8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6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28.8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6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28.8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28.8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6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28.8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6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6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28.8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6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28.8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6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6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28.8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6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28.8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6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28.8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6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28.8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28.8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6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6">
        <f t="shared" ref="P1218:P1281" si="96">IFERROR(ROUND(E1218/L1218,2),0)</f>
        <v>91.88</v>
      </c>
      <c r="Q1218" s="11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28.8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6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YEAR(S1219)</f>
        <v>2016</v>
      </c>
    </row>
    <row r="1220" spans="1:21" ht="28.8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28.8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28.8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28.8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6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6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28.8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6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6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28.8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6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28.8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6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28.8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6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28.8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6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28.8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6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28.8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28.8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6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6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28.8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6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28.8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6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6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6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28.8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6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28.8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6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6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28.8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6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28.8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6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6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6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6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28.8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6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6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28.8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6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28.8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6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28.8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28.8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6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28.8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6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28.8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6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28.8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6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6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28.8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6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6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28.8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6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6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28.8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28.8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6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6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28.8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6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6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28.8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6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6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28.8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6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28.8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6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6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28.8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28.8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6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6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28.8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6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28.8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6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28.8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6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6">
        <f t="shared" ref="P1282:P1345" si="101">IFERROR(ROUND(E1282/L1282,2),0)</f>
        <v>127.98</v>
      </c>
      <c r="Q1282" s="11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28.8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6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28.8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28.8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28.8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28.8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43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28.8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28.8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28.8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28.8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28.8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28.8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28.8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28.8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28.8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28.8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28.8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28.8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28.8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6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28.8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6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6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6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6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6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28.8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6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6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28.8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6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28.8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6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28.8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6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28.8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6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28.8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6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28.8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6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28.8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6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28.8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6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28.8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6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28.8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6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28.8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28.8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6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28.8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6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28.8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6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28.8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6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28.8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6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6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6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28.8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6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28.8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6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28.8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6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28.8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6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28.8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6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28.8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6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6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6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28.8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6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28.8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6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28.8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6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28.8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6">
        <f t="shared" ref="P1346:P1409" si="106">IFERROR(ROUND(E1346/L1346,2),0)</f>
        <v>40.76</v>
      </c>
      <c r="Q1346" s="11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28.8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6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28.8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28.8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28.8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28.8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28.8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28.8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6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6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28.8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28.8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6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28.8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6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28.8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6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28.8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6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28.8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6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6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28.8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6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6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28.8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6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28.8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28.8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6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6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28.8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6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28.8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6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28.8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6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6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28.8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6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6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6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28.8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28.8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6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6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28.8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6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6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6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6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28.8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6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28.8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6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28.8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6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28.8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6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6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28.8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6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28.8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6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6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6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6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6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6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28.8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6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28.8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6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28.8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6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28.8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6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28.8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6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28.8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6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28.8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6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28.8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6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28.8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6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28.8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6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6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28.8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6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28.8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6">
        <f t="shared" ref="P1410:P1473" si="111">IFERROR(ROUND(E1410/L1410,2),0)</f>
        <v>12</v>
      </c>
      <c r="Q1410" s="11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28.8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6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YEAR(S1411)</f>
        <v>2014</v>
      </c>
    </row>
    <row r="1412" spans="1:21" ht="28.8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28.8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28.8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28.8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28.8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28.8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6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28.8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6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28.8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6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28.8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6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6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28.8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6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28.8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6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28.8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6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28.8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28.8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6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28.8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6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28.8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6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28.8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6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6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6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28.8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6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28.8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6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28.8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6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28.8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6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28.8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6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28.8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6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28.8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6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28.8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6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28.8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6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28.8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6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28.8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6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28.8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6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28.8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6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28.8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6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6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28.8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6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28.8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6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28.8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6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6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6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28.8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6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28.8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28.8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6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6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6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28.8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6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28.8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6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6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6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6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28.8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6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28.8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6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28.8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6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6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28.8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6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6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28.8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6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28.8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6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28.8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6">
        <f t="shared" ref="P1474:P1537" si="116">IFERROR(ROUND(E1474/L1474,2),0)</f>
        <v>103.2</v>
      </c>
      <c r="Q1474" s="11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6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28.8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28.8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28.8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28.8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28.8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28.8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6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28.8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6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6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28.8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6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28.8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6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28.8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6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28.8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6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6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6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28.8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6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6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28.8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6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6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28.8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6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28.8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6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28.8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6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28.8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6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28.8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6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28.8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6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6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28.8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6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28.8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6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28.8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6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28.8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6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28.8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6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28.8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6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28.8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6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28.8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6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28.8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6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28.8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6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28.8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6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28.8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28.8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6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28.8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6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28.8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6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6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28.8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6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6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28.8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6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28.8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6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28.8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6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28.8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6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28.8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6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6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6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6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28.8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6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28.8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6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28.8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6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6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28.8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28.8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6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28.8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6">
        <f t="shared" ref="P1538:P1601" si="121">IFERROR(ROUND(E1538/L1538,2),0)</f>
        <v>66.02</v>
      </c>
      <c r="Q1538" s="11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28.8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6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YEAR(S1539)</f>
        <v>2016</v>
      </c>
    </row>
    <row r="1540" spans="1:21" ht="28.8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28.8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28.8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28.8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28.8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28.8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28.8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6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28.8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6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28.8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6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6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28.8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6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28.8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6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28.8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6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28.8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6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28.8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6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28.8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6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6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28.8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6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6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6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28.8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6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28.8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6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6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28.8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6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28.8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28.8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6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6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28.8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6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28.8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6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6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6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28.8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6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28.8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6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28.8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6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28.8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28.8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6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6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28.8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6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28.8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6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6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28.8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6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28.8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6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6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28.8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6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28.8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28.8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6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6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28.8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6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6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6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6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28.8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6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6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6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28.8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6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6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28.8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6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28.8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6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6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28.8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6">
        <f t="shared" ref="P1602:P1665" si="126">IFERROR(ROUND(E1602/L1602,2),0)</f>
        <v>40.78</v>
      </c>
      <c r="Q1602" s="11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28.8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6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28.8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28.8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28.8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28.8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6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6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6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6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6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28.8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6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28.8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6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6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6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6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28.8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6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6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28.8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6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28.8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6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28.8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6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28.8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6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28.8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6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28.8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6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6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6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28.8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6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28.8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6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28.8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6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28.8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6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28.8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6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28.8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6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28.8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6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6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28.8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6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28.8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6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6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28.8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6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6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28.8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28.8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6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28.8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6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28.8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6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28.8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6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28.8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6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6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28.8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6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28.8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6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28.8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6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28.8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6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6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28.8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6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28.8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6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28.8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6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28.8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6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28.8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6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28.8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6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6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28.8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6">
        <f t="shared" ref="P1666:P1729" si="131">IFERROR(ROUND(E1666/L1666,2),0)</f>
        <v>34.380000000000003</v>
      </c>
      <c r="Q1666" s="11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28.8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6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28.8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28.8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28.8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28.8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6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28.8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6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28.8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6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6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28.8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6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6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28.8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6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6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28.8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6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6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6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28.8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6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28.8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6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28.8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6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28.8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6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6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28.8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6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28.8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6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6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28.8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6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28.8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28.8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6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28.8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6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28.8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6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6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28.8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6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28.8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6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28.8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6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6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28.8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6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28.8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6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28.8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6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28.8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6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28.8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6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6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6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28.8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6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28.8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6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28.8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6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28.8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28.8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6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28.8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6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6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6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28.8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6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28.8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6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28.8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6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28.8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6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28.8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6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28.8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28.8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6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6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28.8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6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28.8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6">
        <f t="shared" ref="P1730:P1793" si="136">IFERROR(ROUND(E1730/L1730,2),0)</f>
        <v>122.14</v>
      </c>
      <c r="Q1730" s="11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28.8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6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28.8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28.8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28.8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28.8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28.8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6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28.8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6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6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28.8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6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28.8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6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6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28.8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6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28.8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6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28.8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28.8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6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28.8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6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28.8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6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6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6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28.8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6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6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6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28.8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6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28.8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28.8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6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28.8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6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6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28.8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6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6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28.8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6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6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6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28.8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6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28.8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28.8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6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6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6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28.8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6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28.8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6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28.8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6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28.8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6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6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28.8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6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28.8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28.8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6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28.8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6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28.8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6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28.8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6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28.8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6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28.8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6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28.8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6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28.8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6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28.8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6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28.8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6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28.8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6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6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6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28.8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6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6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6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6">
        <f t="shared" ref="P1794:P1857" si="141">IFERROR(ROUND(E1794/L1794,2),0)</f>
        <v>109.94</v>
      </c>
      <c r="Q1794" s="11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28.8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6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28.8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28.8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28.8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28.8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28.8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6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28.8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6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6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28.8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6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28.8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6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28.8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6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6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28.8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6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6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28.8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6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6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28.8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6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6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28.8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28.8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6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28.8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6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6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6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28.8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6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28.8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6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28.8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6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6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28.8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6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28.8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6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6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28.8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6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28.8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6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28.8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6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28.8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6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6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28.8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6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28.8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6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43.2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6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6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28.8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6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28.8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6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28.8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6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28.8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6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6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28.8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6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28.8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6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28.8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72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6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28.8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6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28.8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6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28.8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6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6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28.8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6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28.8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6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28.8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6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28.8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6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28.8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28.8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6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28.8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6">
        <f t="shared" ref="P1858:P1921" si="146">IFERROR(ROUND(E1858/L1858,2),0)</f>
        <v>53.29</v>
      </c>
      <c r="Q1858" s="11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28.8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6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YEAR(S1859)</f>
        <v>2014</v>
      </c>
    </row>
    <row r="1860" spans="1:21" ht="28.8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28.8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28.8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28.8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28.8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6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28.8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6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28.8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6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28.8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6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28.8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6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28.8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6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28.8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6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28.8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6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28.8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6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28.8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6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28.8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6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6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28.8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6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28.8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6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6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6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28.8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6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28.8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6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28.8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28.8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6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28.8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6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28.8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6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6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28.8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6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28.8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6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6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6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6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28.8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6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28.8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6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28.8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6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28.8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6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28.8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6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28.8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6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28.8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6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28.8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6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28.8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6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28.8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28.8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6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6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6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28.8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6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28.8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6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28.8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6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28.8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6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28.8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6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6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28.8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28.8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6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6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6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28.8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6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28.8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6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6">
        <f t="shared" ref="P1922:P1985" si="151">IFERROR(ROUND(E1922/L1922,2),0)</f>
        <v>40.98</v>
      </c>
      <c r="Q1922" s="11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6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28.8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6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6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6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6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28.8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6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28.8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6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28.8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28.8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6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28.8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6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28.8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6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28.8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6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28.8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6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28.8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6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28.8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6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28.8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6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28.8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6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28.8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28.8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6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28.8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6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28.8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6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6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6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6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28.8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6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28.8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6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6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28.8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6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28.8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6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6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28.8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6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28.8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6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28.8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6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28.8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6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28.8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6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28.8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6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28.8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28.8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6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28.8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6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28.8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6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6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28.8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6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6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28.8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6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28.8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6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28.8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6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28.8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6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6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6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28.8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6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6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6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28.8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6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6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28.8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6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43.2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6">
        <f t="shared" ref="P1986:P2049" si="156">IFERROR(ROUND(E1986/L1986,2),0)</f>
        <v>453.14</v>
      </c>
      <c r="Q1986" s="11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28.8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6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28.8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28.8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28.8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6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28.8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6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28.8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28.8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6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28.8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6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28.8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6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28.8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6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6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28.8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6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6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28.8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6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28.8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6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28.8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28.8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6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28.8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6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28.8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6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28.8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6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28.8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6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6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28.8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6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28.8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6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28.8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6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28.8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6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6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28.8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6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28.8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6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28.8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6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28.8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6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28.8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6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28.8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6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28.8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6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28.8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28.8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6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6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6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6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6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28.8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6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6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28.8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6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28.8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6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28.8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28.8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6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28.8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6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6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28.8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6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6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6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28.8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6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6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28.8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6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28.8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28.8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6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28.8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6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28.8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6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28.8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6">
        <f t="shared" ref="P2050:P2113" si="161">IFERROR(ROUND(E2050/L2050,2),0)</f>
        <v>91.83</v>
      </c>
      <c r="Q2050" s="11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6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28.8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28.8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28.8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28.8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28.8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28.8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28.8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6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28.8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6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6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28.8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6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28.8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6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28.8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6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28.8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6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6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28.8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28.8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6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28.8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6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6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28.8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6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28.8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6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28.8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6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28.8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6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28.8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6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28.8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6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6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6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6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28.8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6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28.8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6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28.8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6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28.8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6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28.8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6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28.8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6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28.8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6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6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28.8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6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28.8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6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6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28.8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6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28.8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6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28.8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6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28.8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6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28.8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28.8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28.8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6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28.8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6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28.8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6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6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28.8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6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28.8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6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28.8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6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6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28.8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6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28.8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6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28.8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6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28.8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6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6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6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28.8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6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28.8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6">
        <f t="shared" ref="P2114:P2177" si="166">IFERROR(ROUND(E2114/L2114,2),0)</f>
        <v>27.27</v>
      </c>
      <c r="Q2114" s="11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6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28.8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28.8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28.8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28.8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28.8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6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6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6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28.8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6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28.8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6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28.8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6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6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28.8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6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28.8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6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6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28.8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6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28.8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6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28.8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6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28.8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28.8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6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6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6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6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28.8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6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28.8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6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28.8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6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28.8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6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28.8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6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28.8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6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28.8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6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6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28.8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6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28.8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6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6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28.8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6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28.8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6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28.8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6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6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6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6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28.8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6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43.2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6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6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6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28.8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6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28.8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6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28.8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6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28.8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6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6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6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28.8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6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6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6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6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28.8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6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28.8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28.8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6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6">
        <f t="shared" ref="P2178:P2241" si="171">IFERROR(ROUND(E2178/L2178,2),0)</f>
        <v>88.75</v>
      </c>
      <c r="Q2178" s="11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6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28.8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28.8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28.8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28.8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28.8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6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6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28.8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6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28.8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6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28.8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6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28.8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6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28.8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6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28.8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6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28.8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6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28.8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6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6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6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28.8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6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6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28.8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6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28.8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6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6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28.8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6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28.8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28.8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6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28.8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6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28.8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6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28.8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6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6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28.8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6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28.8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6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28.8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6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28.8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6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6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28.8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6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28.8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6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28.8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6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28.8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6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28.8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6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28.8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6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28.8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6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28.8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6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28.8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28.8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6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28.8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6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28.8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6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28.8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6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28.8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6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28.8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6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28.8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6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28.8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6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6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28.8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6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6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28.8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6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6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6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28.8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6">
        <f t="shared" ref="P2242:P2305" si="176">IFERROR(ROUND(E2242/L2242,2),0)</f>
        <v>140.97999999999999</v>
      </c>
      <c r="Q2242" s="11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28.8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6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28.8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28.8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28.8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28.8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6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6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28.8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6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28.8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6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28.8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6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28.8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6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6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28.8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6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28.8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6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6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28.8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6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28.8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6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28.8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6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6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28.8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6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28.8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28.8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6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6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28.8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6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28.8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6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28.8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6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28.8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6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28.8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6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28.8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6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28.8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6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28.8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28.8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6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28.8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6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28.8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6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6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28.8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6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28.8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6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28.8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6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6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28.8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6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28.8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6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28.8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6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6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28.8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6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28.8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6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28.8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6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28.8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6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28.8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6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6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28.8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28.8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6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28.8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6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6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6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6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28.8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6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6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28.8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6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28.8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6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28.8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6">
        <f t="shared" ref="P2306:P2369" si="181">IFERROR(ROUND(E2306/L2306,2),0)</f>
        <v>53.47</v>
      </c>
      <c r="Q2306" s="11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28.8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6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28.8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28.8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28.8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28.8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28.8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6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6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28.8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6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28.8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6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28.8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6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28.8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6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6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28.8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6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28.8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6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28.8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6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6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28.8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6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28.8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6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6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43.2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6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28.8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6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28.8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6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6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28.8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6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28.8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6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28.8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6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28.8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6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6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28.8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6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28.8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6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28.8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6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6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28.8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6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28.8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6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28.8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28.8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6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28.8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6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6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28.8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6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28.8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6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6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6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28.8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6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28.8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6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28.8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6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6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6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6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28.8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6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28.8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6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28.8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6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6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28.8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6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28.8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6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28.8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6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28.8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6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28.8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6">
        <f t="shared" ref="P2370:P2433" si="186">IFERROR(ROUND(E2370/L2370,2),0)</f>
        <v>50</v>
      </c>
      <c r="Q2370" s="11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28.8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6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YEAR(S2371)</f>
        <v>2016</v>
      </c>
    </row>
    <row r="2372" spans="1:21" ht="28.8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28.8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28.8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28.8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28.8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6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28.8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6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6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6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28.8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6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6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28.8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6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28.8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6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28.8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28.8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6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6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28.8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6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28.8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6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28.8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6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28.8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6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6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28.8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6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28.8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6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28.8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28.8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6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28.8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6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28.8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6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28.8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6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6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28.8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6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28.8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6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6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28.8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6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28.8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6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28.8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6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28.8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6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6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6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28.8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6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28.8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6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28.8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6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28.8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6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28.8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6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28.8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6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28.8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6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6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28.8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6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6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6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6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6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28.8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6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28.8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6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6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6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28.8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6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28.8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6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6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6">
        <f t="shared" ref="P2434:P2497" si="191">IFERROR(ROUND(E2434/L2434,2),0)</f>
        <v>1</v>
      </c>
      <c r="Q2434" s="11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28.8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6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YEAR(S2435)</f>
        <v>2016</v>
      </c>
    </row>
    <row r="2436" spans="1:21" ht="28.8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28.8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28.8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28.8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28.8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28.8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6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6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6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28.8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6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28.8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28.8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6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28.8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6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28.8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6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28.8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6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28.8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6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28.8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6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28.8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6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28.8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6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28.8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6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28.8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28.8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6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28.8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6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28.8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6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28.8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6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28.8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6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28.8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6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28.8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6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28.8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6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6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6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28.8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6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6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6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28.8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6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6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28.8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6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28.8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6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28.8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6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28.8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6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6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6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28.8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6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6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28.8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6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28.8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6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28.8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6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6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28.8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28.8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6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28.8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6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28.8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6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28.8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6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28.8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6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28.8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6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28.8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6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28.8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6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28.8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28.8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6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6">
        <f t="shared" ref="P2498:P2561" si="196">IFERROR(ROUND(E2498/L2498,2),0)</f>
        <v>600</v>
      </c>
      <c r="Q2498" s="11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28.8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6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28.8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28.8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28.8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28.8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28.8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28.8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43.2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6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28.8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6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6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28.8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6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28.8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6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28.8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6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28.8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6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6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28.8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6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28.8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28.8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6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28.8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6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28.8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6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28.8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6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6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28.8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6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28.8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6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28.8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6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28.8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6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6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28.8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6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6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28.8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6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6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28.8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6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28.8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6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28.8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6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28.8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6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28.8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6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28.8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6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28.8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6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6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28.8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6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28.8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6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28.8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6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28.8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6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28.8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6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28.8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6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28.8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6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28.8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6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28.8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6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28.8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6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28.8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6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28.8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6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28.8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6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28.8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6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28.8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28.8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6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28.8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6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6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6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28.8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6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28.8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6">
        <f t="shared" ref="P2562:P2625" si="201">IFERROR(ROUND(E2562/L2562,2),0)</f>
        <v>143</v>
      </c>
      <c r="Q2562" s="11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28.8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6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28.8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28.8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28.8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28.8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28.8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6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6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28.8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6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28.8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6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6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28.8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6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28.8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28.8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6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6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28.8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6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28.8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6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28.8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6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28.8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6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28.8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6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6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6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28.8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6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6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28.8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6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28.8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6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28.8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6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28.8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6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28.8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6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28.8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6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28.8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6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28.8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6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28.8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6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28.8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6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6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6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6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28.8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6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28.8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6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6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28.8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28.8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6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43.2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6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28.8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6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28.8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6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28.8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6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6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28.8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6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28.8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6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28.8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6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28.8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28.8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6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28.8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6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28.8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6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6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28.8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6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28.8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6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28.8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6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28.8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6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28.8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6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28.8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6">
        <f t="shared" ref="P2626:P2689" si="206">IFERROR(ROUND(E2626/L2626,2),0)</f>
        <v>31.82</v>
      </c>
      <c r="Q2626" s="11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28.8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6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28.8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28.8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6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28.8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6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28.8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28.8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6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28.8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6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6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28.8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6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28.8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6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43.2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6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6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28.8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6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28.8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6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28.8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6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28.8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6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28.8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6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28.8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6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6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28.8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6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28.8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6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28.8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6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28.8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6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28.8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6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6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28.8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6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6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6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28.8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6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28.8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6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28.8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6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28.8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6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28.8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28.8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6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28.8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6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28.8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6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6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28.8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6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28.8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6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28.8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6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28.8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6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28.8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6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28.8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28.8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6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28.8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6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28.8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6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28.8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6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28.8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6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6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6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28.8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6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28.8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6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28.8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28.8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6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28.8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6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6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6">
        <f t="shared" ref="P2690:P2753" si="211">IFERROR(ROUND(E2690/L2690,2),0)</f>
        <v>5.29</v>
      </c>
      <c r="Q2690" s="11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28.8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6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28.8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28.8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28.8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28.8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6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6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28.8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6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28.8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6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28.8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6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28.8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6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28.8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6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6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28.8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6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28.8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6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6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28.8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6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28.8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6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6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28.8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6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28.8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6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28.8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6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28.8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6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43.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6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28.8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6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28.8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6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28.8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6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6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28.8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6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28.8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6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28.8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6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28.8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6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6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28.8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6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6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6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6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28.8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6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28.8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6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28.8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6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28.8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28.8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6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43.2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6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28.8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6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28.8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6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28.8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6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6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6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6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28.8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6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28.8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28.8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6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28.8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6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28.8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6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6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6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6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28.8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6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28.8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6">
        <f t="shared" ref="P2754:P2817" si="216">IFERROR(ROUND(E2754/L2754,2),0)</f>
        <v>39.29</v>
      </c>
      <c r="Q2754" s="11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28.8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6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28.8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28.8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28.8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28.8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28.8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6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6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6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6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28.8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6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28.8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6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6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28.8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6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28.8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6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28.8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6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28.8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6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28.8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6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6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28.8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28.8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6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28.8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6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28.8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6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28.8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6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28.8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6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6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28.8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28.8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28.8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28.8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28.8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28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28.8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28.8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28.8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28.8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28.8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28.8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28.8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28.8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28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28.8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28.8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28.8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28.8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28.8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28.8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28.8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6">
        <f t="shared" ref="P2818:P2881" si="221">IFERROR(ROUND(E2818/L2818,2),0)</f>
        <v>25.13</v>
      </c>
      <c r="Q2818" s="11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28.8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6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YEAR(S2819)</f>
        <v>2015</v>
      </c>
    </row>
    <row r="2820" spans="1:21" ht="28.8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28.8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28.8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28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28.8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28.8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28.8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28.8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28.8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28.8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28.8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28.8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28.8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28.8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28.8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28.8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28.8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28.8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28.8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28.8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28.8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28.8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28.8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28.8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28.8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28.8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28.8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28.8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28.8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28.8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28.8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28.8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28.8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28.8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28.8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28.8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28.8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28.8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28.8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28.8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28.8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28.8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28.8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28.8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28.8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28.8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28.8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28.8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6">
        <f t="shared" ref="P2882:P2945" si="226">IFERROR(ROUND(E2882/L2882,2),0)</f>
        <v>96.55</v>
      </c>
      <c r="Q2882" s="11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28.8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6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YEAR(S2883)</f>
        <v>2014</v>
      </c>
    </row>
    <row r="2884" spans="1:21" ht="28.8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28.8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28.8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28.8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28.8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28.8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28.8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28.8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28.8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28.8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28.8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28.8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28.8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28.8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28.8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28.8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28.8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28.8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28.8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28.8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28.8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28.8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28.8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28.8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28.8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28.8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28.8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28.8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28.8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28.8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6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28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6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6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28.8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28.8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6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28.8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6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28.8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6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6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28.8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6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28.8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6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28.8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6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28.8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6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28.8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6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28.8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28.8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6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28.8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6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6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28.8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6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28.8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6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28.8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6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28.8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6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28.8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6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28.8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6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6">
        <f t="shared" ref="P2946:P3009" si="231">IFERROR(ROUND(E2946/L2946,2),0)</f>
        <v>100</v>
      </c>
      <c r="Q2946" s="11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28.8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6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28.8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28.8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28.8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28.8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28.8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28.8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28.8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6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28.8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6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28.8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6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28.8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6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6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6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28.8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6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6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28.8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28.8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28.8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28.8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28.8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28.8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28.8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28.8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28.8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28.8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28.8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28.8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28.8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28.8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28.8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6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6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28.8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6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28.8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28.8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6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28.8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6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28.8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6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28.8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6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6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28.8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6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28.8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6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28.8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6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6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28.8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28.8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6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6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28.8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6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28.8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6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28.8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6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28.8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6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28.8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6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6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28.8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6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28.8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28.8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6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6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6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28.8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6">
        <f t="shared" ref="P3010:P3073" si="236">IFERROR(ROUND(E3010/L3010,2),0)</f>
        <v>116.73</v>
      </c>
      <c r="Q3010" s="11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28.8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6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28.8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28.8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28.8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28.8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28.8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28.8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6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28.8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6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28.8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6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28.8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6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28.8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6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28.8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6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28.8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6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28.8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6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28.8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6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28.8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6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6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6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28.8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6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28.8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6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6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28.8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6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6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43.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6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28.8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6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28.8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6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28.8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6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28.8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6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6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6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28.8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6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28.8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6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28.8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28.8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6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28.8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6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6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28.8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6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28.8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6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6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28.8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6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6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28.8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6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28.8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28.8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6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28.8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6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28.8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6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28.8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6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28.8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6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6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6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28.8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6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6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28.8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6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28.8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6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28.8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6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28.8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6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28.8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6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6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28.8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6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28.8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6">
        <f t="shared" ref="P3074:P3137" si="241">IFERROR(ROUND(E3074/L3074,2),0)</f>
        <v>1</v>
      </c>
      <c r="Q3074" s="11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28.8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6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43.2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28.8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28.8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28.8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28.8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6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28.8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6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28.8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6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6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28.8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28.8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6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28.8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6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28.8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6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6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6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28.8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6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28.8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6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28.8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6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28.8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6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28.8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6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28.8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6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28.8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6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28.8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6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28.8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6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28.8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6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28.8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6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28.8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6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6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28.8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28.8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6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28.8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6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28.8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6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6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28.8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6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6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6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28.8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6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28.8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6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28.8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28.8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6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6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28.8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6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6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28.8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6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6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6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6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28.8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6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6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6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28.8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6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28.8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6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28.8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6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6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6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6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6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28.8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28.8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6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28.8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6">
        <f t="shared" ref="P3138:P3201" si="246">IFERROR(ROUND(E3138/L3138,2),0)</f>
        <v>29.05</v>
      </c>
      <c r="Q3138" s="11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6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28.8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28.8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28.8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28.8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28.8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28.8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28.8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6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6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28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6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6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28.8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6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28.8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6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6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6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6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28.8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6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28.8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6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6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6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6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28.8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6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28.8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6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28.8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6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28.8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6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28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28.8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6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28.8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6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6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28.8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6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6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6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28.8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6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28.8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6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28.8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6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28.8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28.8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6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28.8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6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28.8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6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28.8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6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6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6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28.8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6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6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6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28.8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6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28.8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6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28.8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6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28.8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6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28.8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6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6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28.8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6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6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6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28.8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28.8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6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28.8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6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6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28.8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6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6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28.8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6">
        <f t="shared" ref="P3202:P3265" si="251">IFERROR(ROUND(E3202/L3202,2),0)</f>
        <v>1</v>
      </c>
      <c r="Q3202" s="11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28.8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6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28.8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28.8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28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28.8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28.8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28.8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6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28.8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6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28.8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6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28.8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6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6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28.8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6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28.8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6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28.8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6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6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28.8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6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6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6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28.8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6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6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6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28.8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28.8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6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28.8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6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28.8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6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6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6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28.8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6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28.8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6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6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6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28.8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28.8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6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28.8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6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6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28.8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6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28.8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6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28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6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28.8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6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6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28.8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6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28.8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6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28.8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6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28.8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6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6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28.8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6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28.8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6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28.8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6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6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6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28.8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6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6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28.8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6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6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28.8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6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6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28.8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6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6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6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6">
        <f t="shared" ref="P3266:P3329" si="256">IFERROR(ROUND(E3266/L3266,2),0)</f>
        <v>52.55</v>
      </c>
      <c r="Q3266" s="11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6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28.8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28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28.8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28.8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28.8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28.8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6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28.8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6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28.8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28.8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6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28.8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6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28.8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6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28.8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6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28.8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6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28.8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6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6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28.8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6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28.8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6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28.8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6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28.8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6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6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28.8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6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28.8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6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43.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6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28.8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6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28.8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6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28.8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6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28.8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28.8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6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28.8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6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6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28.8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6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28.8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6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6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28.8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6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28.8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6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28.8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28.8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6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28.8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6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28.8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6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28.8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6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6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6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28.8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6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28.8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6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28.8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6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28.8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28.8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6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6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6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6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28.8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6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6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28.8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6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28.8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6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28.8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6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28.8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6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28.8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6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28.8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6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28.8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6">
        <f t="shared" ref="P3330:P3393" si="261">IFERROR(ROUND(E3330/L3330,2),0)</f>
        <v>292.77999999999997</v>
      </c>
      <c r="Q3330" s="11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28.8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6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28.8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28.8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28.8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28.8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28.8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28.8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6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28.8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6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6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6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28.8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6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28.8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6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6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6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28.8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28.8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6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28.8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6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28.8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6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28.8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6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28.8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6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28.8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6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28.8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6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28.8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6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28.8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6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28.8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6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28.8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6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28.8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6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6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6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6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28.8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6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28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6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28.8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6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28.8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28.8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6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28.8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6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28.8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6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6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6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6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6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6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28.8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6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28.8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28.8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28.8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6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28.8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6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28.8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6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28.8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6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28.8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6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28.8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6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28.8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6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28.8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6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28.8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28.8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6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28.8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6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28.8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6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28.8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6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28.8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6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28.8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6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28.8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6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28.8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6">
        <f t="shared" ref="P3394:P3457" si="266">IFERROR(ROUND(E3394/L3394,2),0)</f>
        <v>41.67</v>
      </c>
      <c r="Q3394" s="11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28.8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6">
        <f t="shared" si="266"/>
        <v>36.07</v>
      </c>
      <c r="Q3395" s="11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28.8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28.8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28.8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28.8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6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28.8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6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28.8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6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28.8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6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28.8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28.8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6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6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6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28.8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6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6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6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28.8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6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28.8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6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28.8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6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28.8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6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28.8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6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28.8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6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28.8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6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28.8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6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6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28.8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6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28.8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6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6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28.8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28.8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6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6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28.8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6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28.8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6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28.8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6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28.8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6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28.8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6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6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6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28.8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28.8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6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28.8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28.8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6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28.8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6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6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28.8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6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28.8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6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28.8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6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28.8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6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28.8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6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28.8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6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6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28.8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6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6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28.8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6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28.8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6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28.8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6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28.8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6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28.8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28.8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6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28.8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6">
        <f t="shared" ref="P3458:P3521" si="271">IFERROR(ROUND(E3458/L3458,2),0)</f>
        <v>358.69</v>
      </c>
      <c r="Q3458" s="11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6">
        <f t="shared" si="271"/>
        <v>50.98</v>
      </c>
      <c r="Q3459" s="11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28.8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28.8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28.8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28.8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28.8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28.8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28.8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6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6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6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6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28.8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6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6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28.8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6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28.8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6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28.8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6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28.8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28.8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6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28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6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6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28.8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6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28.8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6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28.8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6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28.8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6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28.8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6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28.8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6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28.8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28.8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6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28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6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28.8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6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28.8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6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28.8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6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28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6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28.8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6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28.8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6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28.8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6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28.8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28.8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6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28.8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6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28.8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6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28.8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6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28.8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6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28.8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6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28.8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6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28.8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6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28.8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6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28.8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7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6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28.8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6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6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28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6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28.8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6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28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6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6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28.8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6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28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6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28.8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28.8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6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28.8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6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28.8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6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28.8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6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6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6">
        <f t="shared" ref="P3522:P3585" si="276">IFERROR(ROUND(E3522/L3522,2),0)</f>
        <v>95.95</v>
      </c>
      <c r="Q3522" s="11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28.8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6">
        <f t="shared" si="276"/>
        <v>45.62</v>
      </c>
      <c r="Q3523" s="11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28.8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28.8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28.8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28.8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28.8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28.8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28.8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6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28.8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6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28.8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6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6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28.8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6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28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6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28.8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6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28.8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6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28.8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6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28.8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6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28.8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6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28.8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6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28.8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6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28.8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6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6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28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6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28.8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6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28.8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6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6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28.8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6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28.8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6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28.8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6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28.8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6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28.8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6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28.8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28.8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6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28.8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6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28.8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6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28.8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6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28.8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6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28.8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6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6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28.8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6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28.8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6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28.8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6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28.8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6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28.8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6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28.8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6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28.8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6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6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28.8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6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6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6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28.8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28.8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6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28.8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6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6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28.8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6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28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6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28.8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6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28.8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6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6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28.8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6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57.6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6">
        <f t="shared" ref="P3586:P3649" si="281">IFERROR(ROUND(E3586/L3586,2),0)</f>
        <v>30.94</v>
      </c>
      <c r="Q3586" s="11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28.8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6">
        <f t="shared" si="281"/>
        <v>176.09</v>
      </c>
      <c r="Q3587" s="11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28.8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28.8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28.8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28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28.8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6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6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28.8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6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6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6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6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28.8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6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6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6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28.8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6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28.8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6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28.8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28.8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6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28.8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6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6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28.8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6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28.8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6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6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28.8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6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28.8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6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6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28.8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6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28.8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6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28.8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6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28.8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6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28.8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6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28.8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28.8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6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6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6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57.6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28.8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6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28.8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6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28.8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6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28.8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6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28.8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6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28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6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28.8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6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28.8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6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28.8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6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28.8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6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28.8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6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28.8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6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6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28.8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6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43.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6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28.8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6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6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28.8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6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28.8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6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28.8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6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28.8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6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6">
        <f t="shared" ref="P3650:P3713" si="286">IFERROR(ROUND(E3650/L3650,2),0)</f>
        <v>550.04</v>
      </c>
      <c r="Q3650" s="11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28.8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6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28.8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28.8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28.8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28.8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28.8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28.8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6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28.8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6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6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6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28.8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6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28.8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6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28.8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6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28.8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6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28.8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28.8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6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6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28.8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6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28.8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6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28.8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6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28.8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6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28.8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6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28.8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6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28.8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6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28.8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28.8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6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28.8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6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6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6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28.8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6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6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28.8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6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28.8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6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6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28.8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28.8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6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6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28.8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6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28.8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6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28.8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6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28.8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6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6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6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28.8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6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28.8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28.8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6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6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28.8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6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6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28.8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6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6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28.8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6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28.8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6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28.8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6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28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28.8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6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6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6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28.8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6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6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6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6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28.8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6">
        <f t="shared" ref="P3714:P3777" si="291">IFERROR(ROUND(E3714/L3714,2),0)</f>
        <v>110.87</v>
      </c>
      <c r="Q3714" s="11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28.8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6">
        <f t="shared" si="291"/>
        <v>106.84</v>
      </c>
      <c r="Q3715" s="11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28.8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28.8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28.8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6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28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6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28.8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6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6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28.8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28.8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6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28.8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6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6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6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28.8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6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28.8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6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28.8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6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6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6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28.8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6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28.8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6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6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6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28.8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6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28.8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6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6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28.8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6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6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28.8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6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6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6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28.8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6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28.8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6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72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6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28.8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6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6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28.8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6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28.8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6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28.8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6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28.8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6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6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6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28.8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6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28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6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28.8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6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6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28.8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6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6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28.8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6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28.8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6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28.8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6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28.8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6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6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6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6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28.8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28.8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6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28.8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6">
        <f t="shared" ref="P3778:P3841" si="296">IFERROR(ROUND(E3778/L3778,2),0)</f>
        <v>90.82</v>
      </c>
      <c r="Q3778" s="11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28.8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6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28.8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28.8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28.8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6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28.8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6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28.8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6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57.6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6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6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28.8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6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6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6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28.8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6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28.8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6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28.8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6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28.8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6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28.8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6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6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28.8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6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28.8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6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28.8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6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6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28.8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28.8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6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28.8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6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28.8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6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28.8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6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28.8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6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28.8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6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28.8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6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28.8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6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28.8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6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28.8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6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6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28.8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6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6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6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28.8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6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28.8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6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28.8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6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28.8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6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28.8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28.8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6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6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28.8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6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28.8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6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28.8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6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6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28.8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6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28.8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6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28.8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6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28.8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28.8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6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6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6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6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28.8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6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28.8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6">
        <f t="shared" ref="P3842:P3905" si="301">IFERROR(ROUND(E3842/L3842,2),0)</f>
        <v>21.67</v>
      </c>
      <c r="Q3842" s="11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28.8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6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YEAR(S3843)</f>
        <v>2014</v>
      </c>
    </row>
    <row r="3844" spans="1:21" ht="28.8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28.8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28.8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43.2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28.8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28.8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28.8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6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28.8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6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6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28.8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6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28.8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6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6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6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28.8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6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28.8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6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28.8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6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28.8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6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28.8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6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6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6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28.8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6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28.8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28.8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6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6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28.8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6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6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6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28.8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6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6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28.8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6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28.8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6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28.8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28.8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6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6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28.8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6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28.8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6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6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6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6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28.8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6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28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6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6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6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28.8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6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28.8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6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6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28.8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6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6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28.8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6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28.8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6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28.8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28.8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6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28.8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6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28.8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6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28.8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6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6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6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28.8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6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28.8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6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28.8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6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6">
        <f t="shared" ref="P3906:P3969" si="306">IFERROR(ROUND(E3906/L3906,2),0)</f>
        <v>1.5</v>
      </c>
      <c r="Q3906" s="11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28.8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6">
        <f t="shared" si="306"/>
        <v>24.71</v>
      </c>
      <c r="Q3907" s="11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YEAR(S3907)</f>
        <v>2015</v>
      </c>
    </row>
    <row r="3908" spans="1:21" ht="28.8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28.8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28.8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28.8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28.8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28.8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6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28.8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6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28.8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28.8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6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28.8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6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28.8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6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28.8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6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28.8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6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28.8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6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28.8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6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28.8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6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28.8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6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28.8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28.8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6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6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28.8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6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28.8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6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28.8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6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28.8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6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28.8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6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28.8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6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28.8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6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28.8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28.8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6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28.8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6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28.8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6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28.8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6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28.8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6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28.8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6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28.8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6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28.8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6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6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28.8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28.8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6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6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28.8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6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28.8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6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28.8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6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28.8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6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28.8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6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28.8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6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28.8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6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28.8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28.8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6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28.8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6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6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28.8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6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28.8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6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28.8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6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28.8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6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28.8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6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28.8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6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28.8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28.8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6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28.8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6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28.8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6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6">
        <f t="shared" ref="P3970:P4033" si="311">IFERROR(ROUND(E3970/L3970,2),0)</f>
        <v>47.91</v>
      </c>
      <c r="Q3970" s="11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28.8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6">
        <f t="shared" si="311"/>
        <v>35.17</v>
      </c>
      <c r="Q3971" s="11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YEAR(S3971)</f>
        <v>2016</v>
      </c>
    </row>
    <row r="3972" spans="1:21" ht="28.8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28.8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28.8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28.8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28.8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28.8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6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28.8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6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28.8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6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28.8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6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28.8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6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6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6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28.8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6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28.8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28.8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6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28.8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6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6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6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28.8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6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28.8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6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6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6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6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28.8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6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28.8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6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28.8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6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6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6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6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28.8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6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28.8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6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28.8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6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28.8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6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28.8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6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28.8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6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28.8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6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28.8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6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28.8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6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28.8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6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28.8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6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28.8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6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28.8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28.8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6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28.8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6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28.8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6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6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28.8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6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28.8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6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6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6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28.8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28.8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6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28.8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28.8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6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28.8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6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28.8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28.8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6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28.8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28.8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6">
        <f t="shared" ref="P4034:P4097" si="316">IFERROR(ROUND(E4034/L4034,2),0)</f>
        <v>59</v>
      </c>
      <c r="Q4034" s="11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28.8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6">
        <f t="shared" si="316"/>
        <v>65.34</v>
      </c>
      <c r="Q4035" s="11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YEAR(S4035)</f>
        <v>2016</v>
      </c>
    </row>
    <row r="4036" spans="1:21" ht="28.8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28.8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28.8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28.8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28.8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6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6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28.8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6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6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28.8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28.8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6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28.8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6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28.8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6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28.8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6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28.8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6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28.8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6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28.8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6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6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28.8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6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28.8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28.8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6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28.8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6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28.8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6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28.8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6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6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28.8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6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28.8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6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28.8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6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28.8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6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28.8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6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28.8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6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6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28.8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6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6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28.8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6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28.8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6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28.8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6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28.8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28.8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6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6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28.8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6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28.8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28.8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6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28.8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6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28.8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6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28.8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6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28.8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28.8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6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28.8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6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6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28.8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6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6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28.8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6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28.8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6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28.8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6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28.8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6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28.8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6">
        <f t="shared" ref="P4098:P4115" si="321">IFERROR(ROUND(E4098/L4098,2),0)</f>
        <v>80</v>
      </c>
      <c r="Q4098" s="11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28.8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6">
        <f t="shared" si="321"/>
        <v>0</v>
      </c>
      <c r="Q4099" s="11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28.8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28.8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28.8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28.8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28.8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6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28.8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6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28.8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6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28.8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6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28.8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28.8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6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28.8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6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28.8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6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28.8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6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F9417015-D0A4-47DB-99E5-4D67204F87CC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"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22AD3-E11A-4D93-8490-968B113E2071}">
  <dimension ref="A1:E18"/>
  <sheetViews>
    <sheetView workbookViewId="0">
      <selection activeCell="D4" sqref="D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8372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8379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16" t="s">
        <v>8380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16" t="s">
        <v>8381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16" t="s">
        <v>8382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16" t="s">
        <v>8373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16" t="s">
        <v>8383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16" t="s">
        <v>8374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16" t="s">
        <v>8375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16" t="s">
        <v>8376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16" t="s">
        <v>8377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16" t="s">
        <v>8378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16" t="s">
        <v>8384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16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E4444-DC42-446F-8036-5B9DA73887FC}">
  <dimension ref="A1:I13"/>
  <sheetViews>
    <sheetView workbookViewId="0">
      <selection activeCell="B2" sqref="B2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25" bestFit="1" customWidth="1"/>
    <col min="7" max="7" width="15.88671875" style="25" bestFit="1" customWidth="1"/>
    <col min="8" max="8" width="18.77734375" style="25" bestFit="1" customWidth="1"/>
  </cols>
  <sheetData>
    <row r="1" spans="1:9" x14ac:dyDescent="0.3">
      <c r="A1" s="26" t="s">
        <v>8369</v>
      </c>
      <c r="B1" s="26" t="s">
        <v>8385</v>
      </c>
      <c r="C1" s="26" t="s">
        <v>8386</v>
      </c>
      <c r="D1" s="26" t="s">
        <v>8387</v>
      </c>
      <c r="E1" s="26" t="s">
        <v>8388</v>
      </c>
      <c r="F1" s="27" t="s">
        <v>8389</v>
      </c>
      <c r="G1" s="27" t="s">
        <v>8390</v>
      </c>
      <c r="H1" s="27" t="s">
        <v>8391</v>
      </c>
      <c r="I1" s="24"/>
    </row>
    <row r="2" spans="1:9" x14ac:dyDescent="0.3">
      <c r="A2" s="28" t="s">
        <v>8392</v>
      </c>
      <c r="B2" s="28">
        <f>COUNTIFS(Kickstarter!$D:$D,"&lt;1000",Kickstarter!$F:$F,"successful",Kickstarter!$R:$R,"plays")</f>
        <v>141</v>
      </c>
      <c r="C2" s="28">
        <f>COUNTIFS(Kickstarter!$D:$D,"&lt;1000",Kickstarter!$F:$F,"failed",Kickstarter!$R:$R,"plays")</f>
        <v>45</v>
      </c>
      <c r="D2" s="28">
        <f>COUNTIFS(Kickstarter!$D:$D,"&lt;1000",Kickstarter!$F:$F,"canceled",Kickstarter!$R:$R,"plays")</f>
        <v>0</v>
      </c>
      <c r="E2" s="28">
        <f>SUM(B2:D2)</f>
        <v>186</v>
      </c>
      <c r="F2" s="29">
        <f>(B2/$E$2)</f>
        <v>0.75806451612903225</v>
      </c>
      <c r="G2" s="29">
        <f t="shared" ref="G2:H2" si="0">(C2/$E$2)</f>
        <v>0.24193548387096775</v>
      </c>
      <c r="H2" s="29">
        <f t="shared" si="0"/>
        <v>0</v>
      </c>
    </row>
    <row r="3" spans="1:9" x14ac:dyDescent="0.3">
      <c r="A3" s="28" t="s">
        <v>8393</v>
      </c>
      <c r="B3" s="28">
        <f>COUNTIFS(Kickstarter!$D:$D,"&gt;=1000",Kickstarter!$F:$F,"successful",Kickstarter!$D:$D,"&lt;=4999",Kickstarter!$R:$R,"plays")</f>
        <v>388</v>
      </c>
      <c r="C3" s="28">
        <f>COUNTIFS(Kickstarter!$D:$D,"&gt;=1000",Kickstarter!$F:$F,"failed",Kickstarter!$D:$D,"&lt;=4999",Kickstarter!$R:$R,"plays")</f>
        <v>146</v>
      </c>
      <c r="D3" s="28">
        <f>COUNTIFS(Kickstarter!$D:$D,"&gt;=1000",Kickstarter!$F:$F,"canceled",Kickstarter!$D:$D,"&lt;=4999",Kickstarter!$R:$R,"plays")</f>
        <v>0</v>
      </c>
      <c r="E3" s="28">
        <f t="shared" ref="E3:E13" si="1">SUM(B3:D3)</f>
        <v>534</v>
      </c>
      <c r="F3" s="29">
        <f>(B3/$E$3)</f>
        <v>0.72659176029962547</v>
      </c>
      <c r="G3" s="29">
        <f t="shared" ref="G3:H3" si="2">(C3/$E$3)</f>
        <v>0.27340823970037453</v>
      </c>
      <c r="H3" s="29">
        <f t="shared" si="2"/>
        <v>0</v>
      </c>
    </row>
    <row r="4" spans="1:9" x14ac:dyDescent="0.3">
      <c r="A4" s="28" t="s">
        <v>8394</v>
      </c>
      <c r="B4" s="28">
        <f>COUNTIFS(Kickstarter!$D:$D,"&gt;=5000",Kickstarter!$F:$F,"successful",Kickstarter!$D:$D,"&lt;=9999",Kickstarter!$R:$R,"plays")</f>
        <v>93</v>
      </c>
      <c r="C4" s="28">
        <f>COUNTIFS(Kickstarter!$D:$D,"&gt;=5000",Kickstarter!$F:$F,"failed",Kickstarter!$D:$D,"&lt;=9999",Kickstarter!$R:$R,"plays")</f>
        <v>76</v>
      </c>
      <c r="D4" s="28">
        <f>COUNTIFS(Kickstarter!$D:$D,"&gt;=5000",Kickstarter!$F:$F,"canceled",Kickstarter!$D:$D,"&lt;=9999",Kickstarter!$R:$R,"plays")</f>
        <v>0</v>
      </c>
      <c r="E4" s="28">
        <f t="shared" si="1"/>
        <v>169</v>
      </c>
      <c r="F4" s="29">
        <f>(B4/$E$4)</f>
        <v>0.55029585798816572</v>
      </c>
      <c r="G4" s="29">
        <f t="shared" ref="G4:H4" si="3">(C4/$E$4)</f>
        <v>0.44970414201183434</v>
      </c>
      <c r="H4" s="29">
        <f t="shared" si="3"/>
        <v>0</v>
      </c>
    </row>
    <row r="5" spans="1:9" x14ac:dyDescent="0.3">
      <c r="A5" s="28" t="s">
        <v>8395</v>
      </c>
      <c r="B5" s="28">
        <f>COUNTIFS(Kickstarter!$D:$D,"&gt;=10000",Kickstarter!$F:$F,"successful",Kickstarter!$D:$D,"&lt;=14999",Kickstarter!$R:$R,"plays")</f>
        <v>39</v>
      </c>
      <c r="C5" s="28">
        <f>COUNTIFS(Kickstarter!$D:$D,"&gt;=10000",Kickstarter!$F:$F,"failed",Kickstarter!$D:$D,"&lt;=14999",Kickstarter!$R:$R,"plays")</f>
        <v>33</v>
      </c>
      <c r="D5" s="28">
        <f>COUNTIFS(Kickstarter!$D:$D,"&gt;=10000",Kickstarter!$F:$F,"canceled",Kickstarter!$D:$D,"&lt;=14999",Kickstarter!$R:$R,"plays")</f>
        <v>0</v>
      </c>
      <c r="E5" s="28">
        <f t="shared" si="1"/>
        <v>72</v>
      </c>
      <c r="F5" s="29">
        <f>(B5/$E$5)</f>
        <v>0.54166666666666663</v>
      </c>
      <c r="G5" s="29">
        <f t="shared" ref="G5:H5" si="4">(C5/$E$5)</f>
        <v>0.45833333333333331</v>
      </c>
      <c r="H5" s="29">
        <f t="shared" si="4"/>
        <v>0</v>
      </c>
    </row>
    <row r="6" spans="1:9" x14ac:dyDescent="0.3">
      <c r="A6" s="28" t="s">
        <v>8396</v>
      </c>
      <c r="B6" s="28">
        <f>COUNTIFS(Kickstarter!$D:$D,"&gt;=15000",Kickstarter!$F:$F,"successful",Kickstarter!$D:$D,"&lt;=19999",Kickstarter!$R:$R,"plays")</f>
        <v>12</v>
      </c>
      <c r="C6" s="28">
        <f>COUNTIFS(Kickstarter!$D:$D,"&gt;=15000",Kickstarter!$F:$F,"failed",Kickstarter!$D:$D,"&lt;=19999",Kickstarter!$R:$R,"plays")</f>
        <v>12</v>
      </c>
      <c r="D6" s="28">
        <f>COUNTIFS(Kickstarter!$D:$D,"&gt;=15000",Kickstarter!$F:$F,"canceled",Kickstarter!$D:$D,"&lt;=19999",Kickstarter!$R:$R,"plays")</f>
        <v>0</v>
      </c>
      <c r="E6" s="28">
        <f t="shared" si="1"/>
        <v>24</v>
      </c>
      <c r="F6" s="29">
        <f>(B6/$E$6)</f>
        <v>0.5</v>
      </c>
      <c r="G6" s="29">
        <f t="shared" ref="G6:H6" si="5">(C6/$E$6)</f>
        <v>0.5</v>
      </c>
      <c r="H6" s="29">
        <f t="shared" si="5"/>
        <v>0</v>
      </c>
    </row>
    <row r="7" spans="1:9" x14ac:dyDescent="0.3">
      <c r="A7" s="28" t="s">
        <v>8397</v>
      </c>
      <c r="B7" s="28">
        <f>COUNTIFS(Kickstarter!$D:$D,"&gt;=20000",Kickstarter!$F:$F,"successful",Kickstarter!$D:$D,"&lt;=24999",Kickstarter!$R:$R,"plays")</f>
        <v>9</v>
      </c>
      <c r="C7" s="28">
        <f>COUNTIFS(Kickstarter!$D:$D,"&gt;=20000",Kickstarter!$F:$F,"failed",Kickstarter!$D:$D,"&lt;=24999",Kickstarter!$R:$R,"plays")</f>
        <v>11</v>
      </c>
      <c r="D7" s="28">
        <f>COUNTIFS(Kickstarter!$D:$D,"&gt;=20000",Kickstarter!$F:$F,"canceled",Kickstarter!$D:$D,"&lt;=24999",Kickstarter!$R:$R,"plays")</f>
        <v>0</v>
      </c>
      <c r="E7" s="28">
        <f t="shared" si="1"/>
        <v>20</v>
      </c>
      <c r="F7" s="29">
        <f>(B7/$E$7)</f>
        <v>0.45</v>
      </c>
      <c r="G7" s="29">
        <f t="shared" ref="G7:H7" si="6">(C7/$E$7)</f>
        <v>0.55000000000000004</v>
      </c>
      <c r="H7" s="29">
        <f t="shared" si="6"/>
        <v>0</v>
      </c>
    </row>
    <row r="8" spans="1:9" x14ac:dyDescent="0.3">
      <c r="A8" s="28" t="s">
        <v>8398</v>
      </c>
      <c r="B8" s="28">
        <f>COUNTIFS(Kickstarter!$D:$D,"&gt;=25000",Kickstarter!$F:$F,"successful",Kickstarter!$D:$D,"&lt;=29999",Kickstarter!$R:$R,"plays")</f>
        <v>1</v>
      </c>
      <c r="C8" s="28">
        <f>COUNTIFS(Kickstarter!$D:$D,"&gt;=25000",Kickstarter!$F:$F,"failed",Kickstarter!$D:$D,"&lt;=29999",Kickstarter!$R:$R,"plays")</f>
        <v>4</v>
      </c>
      <c r="D8" s="28">
        <f>COUNTIFS(Kickstarter!$D:$D,"&gt;=25000",Kickstarter!$F:$F,"canceled",Kickstarter!$D:$D,"&lt;=29999",Kickstarter!$R:$R,"plays")</f>
        <v>0</v>
      </c>
      <c r="E8" s="28">
        <f t="shared" si="1"/>
        <v>5</v>
      </c>
      <c r="F8" s="29">
        <f>(B8/$E$8)</f>
        <v>0.2</v>
      </c>
      <c r="G8" s="29">
        <f t="shared" ref="G8:H8" si="7">(C8/$E$8)</f>
        <v>0.8</v>
      </c>
      <c r="H8" s="29">
        <f t="shared" si="7"/>
        <v>0</v>
      </c>
    </row>
    <row r="9" spans="1:9" x14ac:dyDescent="0.3">
      <c r="A9" s="28" t="s">
        <v>8399</v>
      </c>
      <c r="B9" s="28">
        <f>COUNTIFS(Kickstarter!$D:$D,"&gt;=30000",Kickstarter!$F:$F,"successful",Kickstarter!$D:$D,"&lt;=34999",Kickstarter!$R:$R,"plays")</f>
        <v>3</v>
      </c>
      <c r="C9" s="28">
        <f>COUNTIFS(Kickstarter!$D:$D,"&gt;=30000",Kickstarter!$F:$F,"failed",Kickstarter!$D:$D,"&lt;=34999",Kickstarter!$R:$R,"plays")</f>
        <v>8</v>
      </c>
      <c r="D9" s="28">
        <f>COUNTIFS(Kickstarter!$D:$D,"&gt;=30000",Kickstarter!$F:$F,"canceled",Kickstarter!$D:$D,"&lt;=34999",Kickstarter!$R:$R,"plays")</f>
        <v>0</v>
      </c>
      <c r="E9" s="28">
        <f t="shared" si="1"/>
        <v>11</v>
      </c>
      <c r="F9" s="29">
        <f>(B9/$E$9)</f>
        <v>0.27272727272727271</v>
      </c>
      <c r="G9" s="29">
        <f t="shared" ref="G9:H9" si="8">(C9/$E$9)</f>
        <v>0.72727272727272729</v>
      </c>
      <c r="H9" s="29">
        <f t="shared" si="8"/>
        <v>0</v>
      </c>
    </row>
    <row r="10" spans="1:9" x14ac:dyDescent="0.3">
      <c r="A10" s="28" t="s">
        <v>8400</v>
      </c>
      <c r="B10" s="28">
        <f>COUNTIFS(Kickstarter!$D:$D,"&gt;=35000",Kickstarter!$F:$F,"successful",Kickstarter!$D:$D,"&lt;=39999",Kickstarter!$R:$R,"plays")</f>
        <v>4</v>
      </c>
      <c r="C10" s="28">
        <f>COUNTIFS(Kickstarter!$D:$D,"&gt;=35000",Kickstarter!$F:$F,"failed",Kickstarter!$D:$D,"&lt;=39999",Kickstarter!$R:$R,"plays")</f>
        <v>2</v>
      </c>
      <c r="D10" s="28">
        <f>COUNTIFS(Kickstarter!$D:$D,"&gt;=35000",Kickstarter!$F:$F,"canceled",Kickstarter!$D:$D,"&lt;=39999",Kickstarter!$R:$R,"plays")</f>
        <v>0</v>
      </c>
      <c r="E10" s="28">
        <f t="shared" si="1"/>
        <v>6</v>
      </c>
      <c r="F10" s="29">
        <f>(B10/$E$10)</f>
        <v>0.66666666666666663</v>
      </c>
      <c r="G10" s="29">
        <f t="shared" ref="G10:H10" si="9">(C10/$E$10)</f>
        <v>0.33333333333333331</v>
      </c>
      <c r="H10" s="29">
        <f t="shared" si="9"/>
        <v>0</v>
      </c>
    </row>
    <row r="11" spans="1:9" x14ac:dyDescent="0.3">
      <c r="A11" s="28" t="s">
        <v>8401</v>
      </c>
      <c r="B11" s="28">
        <f>COUNTIFS(Kickstarter!$D:$D,"&gt;=40000",Kickstarter!$F:$F,"successful",Kickstarter!$D:$D,"&lt;=44999",Kickstarter!$R:$R,"plays")</f>
        <v>2</v>
      </c>
      <c r="C11" s="28">
        <f>COUNTIFS(Kickstarter!$D:$D,"&gt;=40000",Kickstarter!$F:$F,"failed",Kickstarter!$D:$D,"&lt;=44999",Kickstarter!$R:$R,"plays")</f>
        <v>1</v>
      </c>
      <c r="D11" s="28">
        <f>COUNTIFS(Kickstarter!$D:$D,"&gt;=40000",Kickstarter!$F:$F,"canceled",Kickstarter!$D:$D,"&lt;=44999",Kickstarter!$R:$R,"plays")</f>
        <v>0</v>
      </c>
      <c r="E11" s="28">
        <f t="shared" si="1"/>
        <v>3</v>
      </c>
      <c r="F11" s="29">
        <f>(B11/$E$11)</f>
        <v>0.66666666666666663</v>
      </c>
      <c r="G11" s="29">
        <f t="shared" ref="G11:H11" si="10">(C11/$E$11)</f>
        <v>0.33333333333333331</v>
      </c>
      <c r="H11" s="29">
        <f t="shared" si="10"/>
        <v>0</v>
      </c>
    </row>
    <row r="12" spans="1:9" x14ac:dyDescent="0.3">
      <c r="A12" s="28" t="s">
        <v>8402</v>
      </c>
      <c r="B12" s="28">
        <f>COUNTIFS(Kickstarter!$D:$D,"&gt;=45000",Kickstarter!$F:$F,"successful",Kickstarter!$D:$D,"&lt;=49999",Kickstarter!$R:$R,"plays")</f>
        <v>0</v>
      </c>
      <c r="C12" s="28">
        <f>COUNTIFS(Kickstarter!$D:$D,"&gt;=45000",Kickstarter!$F:$F,"failed",Kickstarter!$D:$D,"&lt;=49999",Kickstarter!$R:$R,"plays")</f>
        <v>1</v>
      </c>
      <c r="D12" s="28">
        <f>COUNTIFS(Kickstarter!$D:$D,"&gt;=45000",Kickstarter!$F:$F,"canceled",Kickstarter!$D:$D,"&lt;=49999",Kickstarter!$R:$R,"plays")</f>
        <v>0</v>
      </c>
      <c r="E12" s="28">
        <f t="shared" si="1"/>
        <v>1</v>
      </c>
      <c r="F12" s="29">
        <f>(B12/$E$12)</f>
        <v>0</v>
      </c>
      <c r="G12" s="29">
        <f t="shared" ref="G12:H12" si="11">(C12/$E$12)</f>
        <v>1</v>
      </c>
      <c r="H12" s="29">
        <f t="shared" si="11"/>
        <v>0</v>
      </c>
    </row>
    <row r="13" spans="1:9" x14ac:dyDescent="0.3">
      <c r="A13" s="28" t="s">
        <v>8403</v>
      </c>
      <c r="B13" s="28">
        <f>COUNTIFS(Kickstarter!$D:$D,"&gt;50000",Kickstarter!$F:$F,"successful",Kickstarter!$R:$R,"plays")</f>
        <v>2</v>
      </c>
      <c r="C13" s="28">
        <f>COUNTIFS(Kickstarter!$D:$D,"&gt;50000",Kickstarter!$F:$F,"failed",Kickstarter!$R:$R,"plays")</f>
        <v>10</v>
      </c>
      <c r="D13" s="28">
        <f>COUNTIFS(Kickstarter!$D:$D,"&gt;50000",Kickstarter!$F:$F,"canceled",Kickstarter!$R:$R,"plays")</f>
        <v>0</v>
      </c>
      <c r="E13" s="28">
        <f t="shared" si="1"/>
        <v>12</v>
      </c>
      <c r="F13" s="29">
        <f>(B13/$E$13)</f>
        <v>0.16666666666666666</v>
      </c>
      <c r="G13" s="29">
        <f t="shared" ref="G13:H13" si="12">(C13/$E$13)</f>
        <v>0.83333333333333337</v>
      </c>
      <c r="H13" s="29">
        <f t="shared" si="1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C052-3943-41E7-B973-FBEE1DE5BA79}">
  <dimension ref="A2:F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3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000AA-BFE2-466F-9662-EAF78BA57BBC}">
  <dimension ref="A1:E7"/>
  <sheetViews>
    <sheetView workbookViewId="0">
      <selection activeCell="E5" sqref="E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3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8461-EB31-467B-BDBC-7B2B5F73E118}">
  <dimension ref="A1:F6"/>
  <sheetViews>
    <sheetView workbookViewId="0">
      <selection activeCell="F3" sqref="F3"/>
    </sheetView>
  </sheetViews>
  <sheetFormatPr defaultRowHeight="14.4" x14ac:dyDescent="0.3"/>
  <cols>
    <col min="1" max="1" width="30.5546875" style="18" bestFit="1" customWidth="1"/>
    <col min="2" max="2" width="107.21875" style="18" customWidth="1"/>
    <col min="3" max="4" width="9.88671875" style="21" bestFit="1" customWidth="1"/>
    <col min="5" max="5" width="16.6640625" customWidth="1"/>
    <col min="6" max="6" width="8.88671875" style="9"/>
  </cols>
  <sheetData>
    <row r="1" spans="1:6" x14ac:dyDescent="0.3">
      <c r="A1" s="17" t="s">
        <v>8367</v>
      </c>
      <c r="B1" s="17" t="s">
        <v>4110</v>
      </c>
      <c r="C1" s="19" t="s">
        <v>8369</v>
      </c>
      <c r="D1" s="19" t="s">
        <v>8370</v>
      </c>
      <c r="E1" s="19" t="s">
        <v>8307</v>
      </c>
      <c r="F1" s="22" t="s">
        <v>8371</v>
      </c>
    </row>
    <row r="2" spans="1:6" x14ac:dyDescent="0.3">
      <c r="A2" s="18" t="s">
        <v>3473</v>
      </c>
      <c r="B2" s="18" t="str">
        <f>VLOOKUP(A2,Kickstarter!B:C,2,FALSE)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20">
        <f>VLOOKUP(A2,Kickstarter!B:E,4,FALSE)</f>
        <v>2020</v>
      </c>
      <c r="E2" s="20">
        <f>VLOOKUP(A2,Kickstarter!B:P,15,FALSE)</f>
        <v>51.79</v>
      </c>
      <c r="F2" s="23">
        <f>VLOOKUP(A2,Kickstarter!B:P,11,FALSE)</f>
        <v>39</v>
      </c>
    </row>
    <row r="3" spans="1:6" ht="28.8" x14ac:dyDescent="0.3">
      <c r="A3" s="18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20">
        <f>VLOOKUP(A3,Kickstarter!B:E,4,FALSE)</f>
        <v>2020</v>
      </c>
      <c r="E3" s="20">
        <f>VLOOKUP(A3,Kickstarter!B:P,15,FALSE)</f>
        <v>36.07</v>
      </c>
      <c r="F3" s="23">
        <f>VLOOKUP(A3,Kickstarter!B:P,11,FALSE)</f>
        <v>56</v>
      </c>
    </row>
    <row r="4" spans="1:6" ht="28.8" x14ac:dyDescent="0.3">
      <c r="A4" s="18" t="s">
        <v>8368</v>
      </c>
      <c r="B4" s="18" t="str">
        <f>VLOOKUP(A4,Kickstarter!B:C,2,FALSE)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20">
        <f>VLOOKUP(A4,Kickstarter!B:E,4,FALSE)</f>
        <v>2576</v>
      </c>
      <c r="E4" s="20">
        <f>VLOOKUP(A4,Kickstarter!B:P,15,FALSE)</f>
        <v>33.03</v>
      </c>
      <c r="F4" s="23">
        <f>VLOOKUP(A4,Kickstarter!B:P,11,FALSE)</f>
        <v>78</v>
      </c>
    </row>
    <row r="5" spans="1:6" x14ac:dyDescent="0.3">
      <c r="A5" s="18" t="s">
        <v>3329</v>
      </c>
      <c r="B5" s="18" t="str">
        <f>VLOOKUP(A5,Kickstarter!B:C,2,FALSE)</f>
        <v>Jestia and Raedon is a brand new romantic comedy play going to the Edinburgh Fringe Festival this summer.</v>
      </c>
      <c r="C5" s="20">
        <f>VLOOKUP(A5,Kickstarter!B:E,3,FALSE)</f>
        <v>1000</v>
      </c>
      <c r="D5" s="20">
        <f>VLOOKUP(A5,Kickstarter!B:E,4,FALSE)</f>
        <v>1168</v>
      </c>
      <c r="E5" s="20">
        <f>VLOOKUP(A5,Kickstarter!B:P,15,FALSE)</f>
        <v>44.92</v>
      </c>
      <c r="F5" s="23">
        <f>VLOOKUP(A5,Kickstarter!B:P,11,FALSE)</f>
        <v>26</v>
      </c>
    </row>
    <row r="6" spans="1:6" ht="28.8" x14ac:dyDescent="0.3">
      <c r="A6" s="18" t="s">
        <v>3221</v>
      </c>
      <c r="B6" s="18" t="str">
        <f>VLOOKUP(A6,Kickstarter!B:C,2,FALSE)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20">
        <f>VLOOKUP(A6,Kickstarter!B:E,4,FALSE)</f>
        <v>4137</v>
      </c>
      <c r="E6" s="20">
        <f>VLOOKUP(A6,Kickstarter!B:P,15,FALSE)</f>
        <v>36.61</v>
      </c>
      <c r="F6" s="23">
        <f>VLOOKUP(A6,Kickstarter!B:P,11,FALSE)</f>
        <v>113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 Based On Launch</vt:lpstr>
      <vt:lpstr>Outcomes Based on Goals</vt:lpstr>
      <vt:lpstr>Category Statistics (Module)</vt:lpstr>
      <vt:lpstr>Subcategory Statistics (Module)</vt:lpstr>
      <vt:lpstr>Edinburgh Research (Module)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Ashok Parihar</cp:lastModifiedBy>
  <dcterms:created xsi:type="dcterms:W3CDTF">2017-04-20T15:17:24Z</dcterms:created>
  <dcterms:modified xsi:type="dcterms:W3CDTF">2020-06-28T19:55:59Z</dcterms:modified>
</cp:coreProperties>
</file>