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Default Extension="png" ContentType="image/png"/>
  <Override PartName="/xl/styles.xml" ContentType="application/vnd.openxmlformats-officedocument.spreadsheetml.styles+xml"/>
  <Override PartName="/xl/drawings/drawing1.xml" ContentType="application/vnd.openxmlformats-officedocument.drawing+xml"/>
  <Override PartName="/xl/worksheets/sheet1.xml" ContentType="application/vnd.openxmlformats-officedocument.spreadsheetml.worksheet+xml"/>
  <Override PartName="/xl/comments2.xml" ContentType="application/vnd.openxmlformats-officedocument.spreadsheetml.comments+xml"/>
  <Default Extension="vml" ContentType="application/vnd.openxmlformats-officedocument.vmlDrawing"/>
  <Default Extension="bin" ContentType="application/vnd.openxmlformats-officedocument.spreadsheetml.printerSettings"/>
  <Override PartName="/xl/worksheets/sheet2.xml" ContentType="application/vnd.openxmlformats-officedocument.spreadsheetml.worksheet+xml"/>
  <Override PartName="/xl/comments3.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drawings/drawing2.xml" ContentType="application/vnd.openxmlformats-officedocument.drawing+xml"/>
  <Override PartName="/xl/worksheets/sheet5.xml" ContentType="application/vnd.openxmlformats-officedocument.spreadsheetml.worksheet+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xl/calcChain.xml" ContentType="application/vnd.openxmlformats-officedocument.spreadsheetml.calcChain+xml"/>
</Types>
</file>

<file path=_rels/.rels><?xml version="1.0" encoding="UTF-8" standalone="yes"?><Relationships xmlns="http://schemas.openxmlformats.org/package/2006/relationships"><Relationship Id="rId2" Type="http://schemas.openxmlformats.org/package/2006/relationships/metadata/core-properties" Target="docProps/core.xml" /><Relationship Id="rId1" Type="http://schemas.openxmlformats.org/officeDocument/2006/relationships/officeDocument" Target="xl/workbook.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5" rupBuild="25601"/>
  <workbookPr codeName="ThisWorkbook" defaultThemeVersion="124226"/>
  <mc:AlternateContent xmlns:mc="http://schemas.openxmlformats.org/markup-compatibility/2006">
    <mc:Choice Requires="x15">
      <x15ac:absPath xmlns:x15ac="http://schemas.microsoft.com/office/spreadsheetml/2010/11/ac" url="C:\Users\SaberBayat\Desktop\Q4-2024\Check\"/>
    </mc:Choice>
  </mc:AlternateContent>
  <bookViews>
    <workbookView xWindow="-120" yWindow="-120" windowWidth="29040" windowHeight="15840" activeTab="0"/>
  </bookViews>
  <sheets>
    <sheet name="Front Page" sheetId="7" r:id="rId3"/>
    <sheet name="Model" sheetId="1" r:id="rId4"/>
    <sheet name="Guidance" sheetId="10" r:id="rId5"/>
    <sheet name="Summary Page" sheetId="9" r:id="rId6"/>
    <sheet name="Update Log" sheetId="8" r:id="rId7"/>
  </sheets>
  <definedNames>
    <definedName name="_xlnm._FilterDatabase" localSheetId="2" hidden="1">Guidance!$A$5:$U$5</definedName>
    <definedName name="AA.AlternatePriceSourceStartPeriod">"Q1-2018"</definedName>
    <definedName name="AA.CIK">"4977"</definedName>
    <definedName name="AA.CompareQuarters.LatestMRQ">"Q3-2019"</definedName>
    <definedName name="AA.CSIN">"BFIGLN0159"</definedName>
    <definedName name="AA.CurationVersion">"2023.11.1.0"</definedName>
    <definedName name="AA.DBMacroVersion">"1.0.13.0"</definedName>
    <definedName name="AA.HardcodeChecker.LatestMRQ">"Q3-2019"</definedName>
    <definedName name="AA.ModelChecks.LatestMRQ">"FY2021"</definedName>
    <definedName name="AA.ModelChecks.LatestVersionNumber">"2.42.5.0"</definedName>
    <definedName name="AA.ModelVersion">"Q3-2024.21"</definedName>
    <definedName name="AA.NonLibraryWideCurationVersion">"C"</definedName>
    <definedName name="AA.PartialUpdate.BsAvailable">"TRUE"</definedName>
    <definedName name="AA.PartialUpdate.CfsAvailable">"FALSE"</definedName>
    <definedName name="AA.PartialUpdate.IsAvailable">"TRUE"</definedName>
    <definedName name="AA.PeriodLayout">"QFY"</definedName>
    <definedName name="AA.PersonalMacro.VersionNumber">"1.5.1.5"</definedName>
    <definedName name="AA.RowNameEnforcerVersion">"2023.11.1.0"</definedName>
    <definedName name="AA.SessionToUploadId">""</definedName>
    <definedName name="AA.StartWorkModelVersion">"Q2-2024.21"</definedName>
    <definedName name="AA.StartWorkType">""</definedName>
    <definedName name="AA.SubyearType">"Q"</definedName>
    <definedName name="AA.TemplateUpgradeAttempted">"TRUE"</definedName>
    <definedName name="AA.TemplateVersion">"7.5.1.0"</definedName>
    <definedName name="AA.UpdateType">"Regular"</definedName>
    <definedName name="AA.VerifyUnitsAtModelVersion">"Q1-2018.21"</definedName>
    <definedName name="FP.DataSource">'Front Page'!$H$16</definedName>
    <definedName name="FP.DataSourceName">'Front Page'!$H$15</definedName>
    <definedName name="FP.Disclaimer">'Front Page'!$C$22</definedName>
    <definedName name="FP.LastPrice">'Front Page'!$H$20</definedName>
    <definedName name="FP.LastPriceDate">'Front Page'!$F$20</definedName>
    <definedName name="FP.RealTimeToggle">'Front Page'!$H$18</definedName>
    <definedName name="FP.UpdateDate">'Front Page'!$H$11</definedName>
    <definedName name="FP.UpdateEvent">'Front Page'!$H$13</definedName>
    <definedName name="FP_Comment">'Front Page'!$M$13:$P$20</definedName>
    <definedName name="FP_StockPriceOverride">'Front Page'!$C$20:$H$20</definedName>
    <definedName name="GD.CompanyName">Guidance!$B$1</definedName>
    <definedName name="GD.MRQ">Guidance!$F$2</definedName>
    <definedName name="GD_Difference_Mid_Absolute">Guidance!$P:$P</definedName>
    <definedName name="GD_Difference_Mid_Relative">Guidance!$Q:$Q</definedName>
    <definedName name="GD_Guidance_High">Guidance!$J:$J</definedName>
    <definedName name="GD_Guidance_Low">Guidance!$I:$I</definedName>
    <definedName name="GD_Guidance_Mid">Guidance!$K:$K</definedName>
    <definedName name="GD_Header_Column">Guidance!$5:$5</definedName>
    <definedName name="GD_Header_Section">Guidance!$4:$4</definedName>
    <definedName name="GD_Index">Guidance!$A:$A</definedName>
    <definedName name="GD_Item">Guidance!$D:$D</definedName>
    <definedName name="GD_Item_BasePeriod">Guidance!$G:$G</definedName>
    <definedName name="GD_Item_FiscalPeriod">Guidance!$F:$F</definedName>
    <definedName name="GD_Item_Name">Guidance!$E:$E</definedName>
    <definedName name="GD_Model_Output">Guidance!$N:$N</definedName>
    <definedName name="GD_Model_Type">Guidance!$M:$M</definedName>
    <definedName name="GD_Type">Guidance!$B:$B</definedName>
    <definedName name="GD_Update_Date">Guidance!$S:$S</definedName>
    <definedName name="GD_Update_Link">Guidance!$T:$T</definedName>
    <definedName name="HP.MRFX">Model!$B$591</definedName>
    <definedName name="HP.ReportCurrency">Model!$B$590</definedName>
    <definedName name="HP.Ticker">Model!$A$2</definedName>
    <definedName name="HP.TradeCurrency">Model!$B$588</definedName>
    <definedName name="HP.TradeCurrency.HardCoded">Model!$B$589</definedName>
    <definedName name="MO.ApplyTradeCurrencyScaling">Model!$B$587</definedName>
    <definedName name="MO.CFY">Model!$B$595</definedName>
    <definedName name="MO.CompanyName">Model!$A$1</definedName>
    <definedName name="MO.DataSourceIndex">Model!$B$598</definedName>
    <definedName name="MO.DataSourceName">Model!$A$4</definedName>
    <definedName name="MO.FirstForecastedFiscalYear">Model!$B$596</definedName>
    <definedName name="MO.KPI.1">Model!$A$503</definedName>
    <definedName name="MO.KPI.10">Model!$A$512</definedName>
    <definedName name="MO.KPI.11">Model!$A$513</definedName>
    <definedName name="MO.KPI.12">Model!$A$514</definedName>
    <definedName name="MO.KPI.13">Model!$A$515</definedName>
    <definedName name="MO.KPI.14">Model!$A$516</definedName>
    <definedName name="MO.KPI.15">Model!$A$517</definedName>
    <definedName name="MO.KPI.16">Model!$A$518</definedName>
    <definedName name="MO.KPI.17">Model!$A$519</definedName>
    <definedName name="MO.KPI.18">Model!$A$520</definedName>
    <definedName name="MO.KPI.19">Model!$A$521</definedName>
    <definedName name="MO.KPI.2">Model!$A$504</definedName>
    <definedName name="MO.KPI.20">Model!$A$522</definedName>
    <definedName name="MO.KPI.3">Model!$A$505</definedName>
    <definedName name="MO.KPI.4">Model!$A$506</definedName>
    <definedName name="MO.KPI.5">Model!$A$507</definedName>
    <definedName name="MO.KPI.6">Model!$A$508</definedName>
    <definedName name="MO.KPI.7">Model!$A$509</definedName>
    <definedName name="MO.KPI.8">Model!$A$510</definedName>
    <definedName name="MO.KPI.9">Model!$A$511</definedName>
    <definedName name="MO.KPI.Count">Model!$B$597</definedName>
    <definedName name="MO.LastPrice">Model!$B$3</definedName>
    <definedName name="MO.LastPriceDate">Model!$B$584</definedName>
    <definedName name="MO.LastPriceFormula">Model!$B$586</definedName>
    <definedName name="MO.LastPriceHardcoded">Model!$B$583</definedName>
    <definedName name="MO.MRFP">Model!$B$594</definedName>
    <definedName name="MO.MRFPColumnNumber">Model!$B$593</definedName>
    <definedName name="MO.MRFX.Hardcoded">Model!$B$592</definedName>
    <definedName name="MO.RealTime">Model!$B$4</definedName>
    <definedName name="MO.RealTimeStockPriceToggle">Model!$B$585</definedName>
    <definedName name="MO.ReportCurrency">Model!$B$590</definedName>
    <definedName name="MO.ReportFX">Model!$A$5</definedName>
    <definedName name="MO.Ticker">Model!$A$2</definedName>
    <definedName name="MO.Ticker.Bloomberg">Model!$A$482</definedName>
    <definedName name="MO.Ticker.Canalyst">Model!$A$481</definedName>
    <definedName name="MO.Ticker.CapIQ">Model!$A$483</definedName>
    <definedName name="MO.Ticker.FactSet">Model!$A$484</definedName>
    <definedName name="MO.Ticker.Thomson">Model!$A$485</definedName>
    <definedName name="MO.TradingCurrency">Model!$A$3</definedName>
    <definedName name="MO.ValuationToggle">Model!$B$298</definedName>
    <definedName name="MO_AN_NI_NONGAAP_Diluted">Model!$198:$198</definedName>
    <definedName name="MO_BS_AP">Model!$439:$439</definedName>
    <definedName name="MO_BS_AR">Model!$425:$425</definedName>
    <definedName name="MO_BS_Cash">Model!$423:$423</definedName>
    <definedName name="MO_BS_CommonStock">Model!$445:$445</definedName>
    <definedName name="MO_BS_ContributedSurplus">Model!$446:$446</definedName>
    <definedName name="MO_BS_FPB">Model!$433:$433</definedName>
    <definedName name="MO_BS_NCI">Model!$455:$455</definedName>
    <definedName name="MO_BS_NP">Model!$440:$440</definedName>
    <definedName name="MO_BS_OtherPolicyholderBalances">Model!$436:$436</definedName>
    <definedName name="MO_BS_PPE">Model!$428:$428</definedName>
    <definedName name="MO_BS_RetainedEarnings">Model!$447:$447</definedName>
    <definedName name="MO_BS_SE">Model!$454:$454</definedName>
    <definedName name="MO_BS_TA">Model!$430:$430</definedName>
    <definedName name="MO_BS_TL">Model!$442:$442</definedName>
    <definedName name="MO_BS_TLSE">Model!$456:$456</definedName>
    <definedName name="MO_BS_TreasuryStock">Model!$453:$453</definedName>
    <definedName name="MO_BSS_AdjustedCommonEquity">Model!$271:$271</definedName>
    <definedName name="MO_BSS_BVPS">Model!$273:$273</definedName>
    <definedName name="MO_BSS_BVPS_Adj">Model!$275:$275</definedName>
    <definedName name="MO_BSS_ROA">Model!$277:$277</definedName>
    <definedName name="MO_BSS_ROE">Model!$278:$278</definedName>
    <definedName name="MO_BSS_TotalCommonEquity">Model!$266:$266</definedName>
    <definedName name="MO_BSS_TotalEquity">Model!$265:$265</definedName>
    <definedName name="MO_CCFS_Balance_Begin">Model!$357:$357</definedName>
    <definedName name="MO_CCFS_Balance_End">Model!$358:$358</definedName>
    <definedName name="MO_CCFS_CFF">Model!$352:$352</definedName>
    <definedName name="MO_CCFS_CFI">Model!$342:$342</definedName>
    <definedName name="MO_CCFS_CFO">Model!$323:$323</definedName>
    <definedName name="MO_CCFS_CFO_BeforeWC">Model!$316:$316</definedName>
    <definedName name="MO_CCFS_FX">Model!$354:$354</definedName>
    <definedName name="MO_CCFS_NetChange">Model!$355:$355</definedName>
    <definedName name="MO_CCFS_Sup_CashInterest">Model!$360:$360</definedName>
    <definedName name="MO_CCFS_Sup_CashTax">Model!$361:$361</definedName>
    <definedName name="MO_CFS_Balance_Begin">Model!$408:$408</definedName>
    <definedName name="MO_CFS_Balance_End">Model!$409:$409</definedName>
    <definedName name="MO_CFS_Buyback">Model!$396:$396</definedName>
    <definedName name="MO_CFS_CFF">Model!$403:$403</definedName>
    <definedName name="MO_CFS_CFI">Model!$393:$393</definedName>
    <definedName name="MO_CFS_CFO">Model!$374:$374</definedName>
    <definedName name="MO_CFS_CFO_BeforeWC">Model!$367:$367</definedName>
    <definedName name="MO_CFS_DeferredTax">Model!$366:$366</definedName>
    <definedName name="MO_CFS_Dividend">Model!$399:$399</definedName>
    <definedName name="MO_CFS_FX">Model!$405:$405</definedName>
    <definedName name="MO_CFS_NetChange">Model!$406:$406</definedName>
    <definedName name="MO_CFS_NI">Model!$365:$365</definedName>
    <definedName name="MO_CFS_Sup_CashInterest">Model!$411:$411</definedName>
    <definedName name="MO_CFS_Sup_CashTax">Model!$412:$412</definedName>
    <definedName name="MO_Checks_Bottom">Model!$C$461:$XFD$476</definedName>
    <definedName name="MO_Checks_BS">Model!$458:$458</definedName>
    <definedName name="MO_Checks_CF">Model!$414:$414</definedName>
    <definedName name="MO_Checks_IS">Model!$185:$185</definedName>
    <definedName name="MO_Common_Column_A">Model!$A:$A</definedName>
    <definedName name="MO_Common_Column_B">Model!$B:$B</definedName>
    <definedName name="MO_Common_ColumnHeader">Model!$5:$5</definedName>
    <definedName name="MO_Common_CompanySubtitle">Model!$2:$2</definedName>
    <definedName name="MO_Common_CompanyTitle">Model!$1:$1</definedName>
    <definedName name="MO_Common_FPDays">Model!$3:$3</definedName>
    <definedName name="MO_Common_QEndDate">Model!$4:$4</definedName>
    <definedName name="MO_Common_QEndDate_LWD">Model!$577:$577</definedName>
    <definedName name="MO_CR_Debt">Model!$284:$284</definedName>
    <definedName name="MO_CR_Debt_LT">Model!$283:$283</definedName>
    <definedName name="MO_CR_Debt_ST">Model!$282:$282</definedName>
    <definedName name="MO_CR_Debt_ToCapitalRatio">Model!$288:$288</definedName>
    <definedName name="MO_CR_IE">Model!$294:$294</definedName>
    <definedName name="MO_CR_InterestRate_Debt">Model!$295:$295</definedName>
    <definedName name="MO_CR_NetDebtIssuance">Model!$290:$290</definedName>
    <definedName name="MO_CR_NetShares">Model!$291:$291</definedName>
    <definedName name="MO_CR_NetShares_Price">Model!$292:$292</definedName>
    <definedName name="MO_CR_TotalCapitalization">Model!$286:$286</definedName>
    <definedName name="MO_CR_TotalCommonEquity">Model!$285:$285</definedName>
    <definedName name="MO_DAC_ChangeInDAC">Model!$56:$56</definedName>
    <definedName name="MO_DAC_DAC">Model!$52:$52</definedName>
    <definedName name="MO_DAC_DAC_PayoutRatio">Model!$58:$58</definedName>
    <definedName name="MO_DAC_PAEIncurred">Model!$54:$54</definedName>
    <definedName name="MO_DAC_PAEPaid">Model!$55:$55</definedName>
    <definedName name="MO_DAC_PAEPayoutRatio">Model!$58:$58</definedName>
    <definedName name="MO_DS_Dividend">Model!$259:$259</definedName>
    <definedName name="MO_DS_DPS">Model!$260:$260</definedName>
    <definedName name="MO_DS_PayoutRatio">Model!$262:$262</definedName>
    <definedName name="MO_FPB_ChangeInFPB">Model!$47:$47</definedName>
    <definedName name="MO_FPB_FPB">Model!$43:$43</definedName>
    <definedName name="MO_FPB_PBIncurred">Model!$45:$45</definedName>
    <definedName name="MO_FPB_PBPaid">Model!$46:$46</definedName>
    <definedName name="MO_FPB_PBPayoutRatio">Model!$49:$49</definedName>
    <definedName name="MO_GA_EmployeeCount">Model!$160:$160</definedName>
    <definedName name="MO_GA_TotalRevenue">Model!$11:$11</definedName>
    <definedName name="MO_II_Avg.TotalInvestments">Model!$66:$66</definedName>
    <definedName name="MO_II_InvestmentBalance">Model!$66:$66</definedName>
    <definedName name="MO_II_InvestmentsRatio">Model!$65:$65</definedName>
    <definedName name="MO_II_NetIG">Model!$78:$78</definedName>
    <definedName name="MO_II_NetII">Model!$72:$72</definedName>
    <definedName name="MO_II_NetIIYield">Model!$76:$76</definedName>
    <definedName name="MO_II_NIY">Model!$76:$76</definedName>
    <definedName name="MO_II_TotalInvestments">Model!$64:$64</definedName>
    <definedName name="MO_IS_Benefits">Model!$173:$173</definedName>
    <definedName name="MO_IS_DAC_Amortization">Model!$174:$174</definedName>
    <definedName name="MO_IS_EBT">Model!$181:$181</definedName>
    <definedName name="MO_IS_FirstRow">Model!$163:$163</definedName>
    <definedName name="MO_IS_IE">Model!$177:$177</definedName>
    <definedName name="MO_IS_NI_ContinOp">Model!$183:$183</definedName>
    <definedName name="MO_IS_OtherOPEX">Model!$178:$178</definedName>
    <definedName name="MO_IS_REV">Model!$172:$172</definedName>
    <definedName name="MO_IS_Tax">Model!$182:$182</definedName>
    <definedName name="MO_KPI_ChangeInDAC">Model!$56:$56</definedName>
    <definedName name="MO_KPI_ChangeInFPBandAB">Model!$47:$47</definedName>
    <definedName name="MO_KPI_DAC">Model!$52:$52</definedName>
    <definedName name="MO_KPI_DAC_Amortization">Model!$150:$150</definedName>
    <definedName name="MO_KPI_DAC_PayoutRatio">Model!$58:$58</definedName>
    <definedName name="MO_KPI_EmployeeCount">Model!$159:$159</definedName>
    <definedName name="MO_KPI_EmployeeCount_Growth">Model!$160:$160</definedName>
    <definedName name="MO_KPI_FPBandAB">Model!$43:$43</definedName>
    <definedName name="MO_KPI_FPBandAB_PayoutRatio">Model!$49:$49</definedName>
    <definedName name="MO_KPI_FPBandABIncurred">Model!$45:$45</definedName>
    <definedName name="MO_KPI_FPBandABPaid">Model!$46:$46</definedName>
    <definedName name="MO_KPI_IE">Model!$151:$151</definedName>
    <definedName name="MO_KPI_InvestmentBalance">Model!$66:$66</definedName>
    <definedName name="MO_KPI_NetIG">Model!$78:$78</definedName>
    <definedName name="MO_KPI_NetII">Model!$72:$72</definedName>
    <definedName name="MO_KPI_NetIIYield">Model!$76:$76</definedName>
    <definedName name="MO_KPI_OOE">Model!$152:$152</definedName>
    <definedName name="MO_KPI_PAEIncurred">Model!$54:$54</definedName>
    <definedName name="MO_KPI_PAEPaid">Model!$55:$55</definedName>
    <definedName name="MO_KPI_PBCD">Model!$149:$149</definedName>
    <definedName name="MO_KPI_TotalExpenses">Model!$153:$153</definedName>
    <definedName name="MO_OS_ChangeInFPBandAB">Model!$47:$47</definedName>
    <definedName name="MO_OS_DAC_Amortization">Model!$150:$150</definedName>
    <definedName name="MO_OS_EmployeeCount">Model!$159:$159</definedName>
    <definedName name="MO_OS_FPBandAB">Model!$43:$43</definedName>
    <definedName name="MO_OS_FPBandAB_PayoutRatio">Model!$49:$49</definedName>
    <definedName name="MO_OS_FPBandABIncurred">Model!$45:$45</definedName>
    <definedName name="MO_OS_FPBandABPaid">Model!$46:$46</definedName>
    <definedName name="MO_OS_IE">Model!$151:$151</definedName>
    <definedName name="MO_OS_OOE">Model!$152:$152</definedName>
    <definedName name="MO_OS_PBCD">Model!$149:$149</definedName>
    <definedName name="MO_OS_TotalExpenses">Model!$153:$153</definedName>
    <definedName name="MO_RIS_Adjustments_Dilution_GAAP">Model!$223:$223</definedName>
    <definedName name="MO_RIS_Adjustments_Dilution_NONGAAP">Model!$226:$226</definedName>
    <definedName name="MO_RIS_Adjustments_NONGAAP">Model!$225:$225</definedName>
    <definedName name="MO_RIS_DisCont">Model!$219:$219</definedName>
    <definedName name="MO_RIS_Dividend_Prefs">Model!$221:$221</definedName>
    <definedName name="MO_RIS_EBT">Model!$212:$212</definedName>
    <definedName name="MO_RIS_EI">Model!$218:$218</definedName>
    <definedName name="MO_RIS_EPS_WAB">Model!$232:$232</definedName>
    <definedName name="MO_RIS_EPS_WAD">Model!$233:$233</definedName>
    <definedName name="MO_RIS_EPS_WAD_Adj">Model!$234:$234</definedName>
    <definedName name="MO_RIS_IE">Model!$209:$209</definedName>
    <definedName name="MO_RIS_NCI">Model!$220:$220</definedName>
    <definedName name="MO_RIS_NEP">Model!$201:$201</definedName>
    <definedName name="MO_RIS_NetIG">Model!$203:$203</definedName>
    <definedName name="MO_RIS_NetII">Model!$202:$202</definedName>
    <definedName name="MO_RIS_NetInvestmentGains">Model!$203:$203</definedName>
    <definedName name="MO_RIS_NetInvestmentIncome">Model!$202:$202</definedName>
    <definedName name="MO_RIS_NI_ContinOp">Model!$217:$217</definedName>
    <definedName name="MO_RIS_NI_GAAP_Basic">Model!$222:$222</definedName>
    <definedName name="MO_RIS_NI_GAAP_Diluted">Model!$224:$224</definedName>
    <definedName name="MO_RIS_NI_NONGAAP_Diluted">Model!$227:$227</definedName>
    <definedName name="MO_RIS_OI">Model!$210:$210</definedName>
    <definedName name="MO_RIS_OPEX">Model!$208:$208</definedName>
    <definedName name="MO_RIS_OtherIncome">Model!$204:$204</definedName>
    <definedName name="MO_RIS_OTI">Model!$211:$211</definedName>
    <definedName name="MO_RIS_Premiums">Model!$201:$201</definedName>
    <definedName name="MO_RIS_REV">Model!$205:$205</definedName>
    <definedName name="MO_RIS_ShareCount_EoPB">Model!$242:$242</definedName>
    <definedName name="MO_RIS_ShareCount_WAB">Model!$237:$237</definedName>
    <definedName name="MO_RIS_ShareCount_WAD">Model!$238:$238</definedName>
    <definedName name="MO_RIS_ShareCount_WAD_Adj">Model!$239:$239</definedName>
    <definedName name="MO_RIS_Tax_Current">Model!$215:$215</definedName>
    <definedName name="MO_RIS_Tax_Deferred">Model!$216:$216</definedName>
    <definedName name="MO_RIS_TaxRate_Current">Model!$229:$229</definedName>
    <definedName name="MO_RIS_TaxRate_Deferred">Model!$230:$230</definedName>
    <definedName name="MO_SCA_Date_CoverPage">Model!$251:$251</definedName>
    <definedName name="MO_SCA_Ratio_DilutedOverBasic">Model!$254:$254</definedName>
    <definedName name="MO_SCA_ShareCount_CoverPage">Model!$250:$250</definedName>
    <definedName name="MO_SCA_ShareCount_CoverPage_Class1">Model!$250:$250</definedName>
    <definedName name="MO_SCA_ShareCount_CoverPage_Ticker1">Model!$250:$250</definedName>
    <definedName name="MO_SCA_ShareCount_DilutiveShares">Model!$253:$253</definedName>
    <definedName name="MO_SCA_ShareCount_EoP">Model!$242:$242</definedName>
    <definedName name="MO_SCA_ShareCount_EoP_Class1">Model!$242:$242</definedName>
    <definedName name="MO_SCA_ShareCount_EoP_Diluted">Model!$256:$256</definedName>
    <definedName name="MO_SCA_ShareCount_EoP_Growth_Dilutive_QoQ">Model!$243:$243</definedName>
    <definedName name="MO_SCA_ShareCount_EoP_Growth_Dilutive_YoY">Model!$244:$244</definedName>
    <definedName name="MO_SCA_ShareCount_EoP_Growth_NetIssuance_QoQ">Model!$245:$245</definedName>
    <definedName name="MO_SCA_ShareCount_EoP_Growth_NetIssuance_YoY">Model!$246:$246</definedName>
    <definedName name="MO_SCA_ShareCount_EoP_Growth_QoQ">Model!$247:$247</definedName>
    <definedName name="MO_SCA_ShareCount_EoP_Growth_YoY">Model!$248:$248</definedName>
    <definedName name="MO_SCA_ShareCount_EoP_Ticker1">Model!$242:$242</definedName>
    <definedName name="MO_Section_AdjustedNumbers">Model!$187:$187</definedName>
    <definedName name="MO_Section_BalanceSheet">Model!$416:$416</definedName>
    <definedName name="MO_Section_BalanceSheetSummary">Model!$264:$264</definedName>
    <definedName name="MO_Section_CapitalResources">Model!$281:$281</definedName>
    <definedName name="MO_Section_CashFlowStatement">Model!$363:$363</definedName>
    <definedName name="MO_Section_CumulativeCashFlowStatement">Model!$312:$312</definedName>
    <definedName name="MO_Section_DeferredAcquisitionCostsandValueofBusinessAcquired">Model!$51:$51</definedName>
    <definedName name="MO_Section_DividendSummary">Model!$258:$258</definedName>
    <definedName name="MO_Section_FuturePolicyBenefits">Model!$42:$42</definedName>
    <definedName name="MO_Section_GrowthAnalysis">Model!$6:$6</definedName>
    <definedName name="MO_Section_II">Model!$60:$60</definedName>
    <definedName name="MO_Section_IncomeStatement">Model!$162:$162</definedName>
    <definedName name="MO_Section_InvestmentIncomeAflacJapanFS">Model!$101:$101</definedName>
    <definedName name="MO_Section_InvestmentIncomeAflacUSFS">Model!$129:$129</definedName>
    <definedName name="MO_Section_KeyMetricsDashboardMetricsFS">Model!$148:$148</definedName>
    <definedName name="MO_Section_KeyMetricsEmployeesFS">Model!$155:$155</definedName>
    <definedName name="MO_Section_LastRow">Model!$600:$600</definedName>
    <definedName name="MO_Section_ModelChecks">Model!$460:$460</definedName>
    <definedName name="MO_Section_RevisedIncomeStatement">Model!$200:$200</definedName>
    <definedName name="MO_Section_SegmentedResultsAflacJapanFS">Model!$80:$80</definedName>
    <definedName name="MO_Section_SegmentedResultsAflacUSFS">Model!$110:$110</definedName>
    <definedName name="MO_Section_SegmentedResultsCorporateandOtherFS">Model!$138:$138</definedName>
    <definedName name="MO_Section_ShareCountAnalysis">Model!$241:$241</definedName>
    <definedName name="MO_Section_Tables">Model!$478:$478</definedName>
    <definedName name="MO_Section_UI">Model!$13:$13</definedName>
    <definedName name="MO_Section_Valuation">Model!$297:$297</definedName>
    <definedName name="MO_SNA_ConsensusEstimatePeriodNumber">Model!$538:$538</definedName>
    <definedName name="MO_SNA_ConsensusEstimatePeriodType">Model!$537:$537</definedName>
    <definedName name="MO_SNA_FPStartDate">Model!$547:$547</definedName>
    <definedName name="MO_SNA_Guidance_ApplicablePeriod_FY">Model!$533:$533</definedName>
    <definedName name="MO_SNA_Guidance_ApplicablePeriod_Q">Model!$527:$527</definedName>
    <definedName name="MO_SNA_Guidance_IsLatest_FY">Model!$532:$532</definedName>
    <definedName name="MO_SNA_Guidance_ReportDate_FY">Model!$531:$531</definedName>
    <definedName name="MO_SNA_Guidance_ReportDate_Q">Model!$526:$526</definedName>
    <definedName name="MO_SNA_IsHistoricalPeriod">Model!$548:$548</definedName>
    <definedName name="MO_SNA_LastDataRow">Model!$456:$456</definedName>
    <definedName name="MO_SPT_FXAverage">Model!$570:$570</definedName>
    <definedName name="MO_SPT_FXAverage_Sources">Model!$571:$575</definedName>
    <definedName name="MO_SPT_FXAverage_Sources_Bloomberg">Model!$572:$572</definedName>
    <definedName name="MO_SPT_FXAverage_Sources_CapIQ">Model!$573:$573</definedName>
    <definedName name="MO_SPT_FXAverage_Sources_FactSet">Model!$574:$574</definedName>
    <definedName name="MO_SPT_FXAverage_Sources_RealTimeOff">Model!$571:$571</definedName>
    <definedName name="MO_SPT_FXAverage_Sources_Thomson">Model!$575:$575</definedName>
    <definedName name="MO_SPT_FXEoP">Model!$579:$579</definedName>
    <definedName name="MO_SPT_StockAverage">Model!$563:$563</definedName>
    <definedName name="MO_SPT_StockAverage_Sources">Model!$564:$568</definedName>
    <definedName name="MO_SPT_StockAverage_Sources_Bloomberg">Model!$565:$565</definedName>
    <definedName name="MO_SPT_StockAverage_Sources_CapIQ">Model!$566:$566</definedName>
    <definedName name="MO_SPT_StockAverage_Sources_FactSet">Model!$567:$567</definedName>
    <definedName name="MO_SPT_StockAverage_Sources_RealTimeOff">Model!$564:$564</definedName>
    <definedName name="MO_SPT_StockAverage_Sources_Thomson">Model!$568:$568</definedName>
    <definedName name="MO_SPT_StockEoP">Model!$578:$578</definedName>
    <definedName name="MO_SPT_StockHigh">Model!$549:$549</definedName>
    <definedName name="MO_SPT_StockHigh_Sources">Model!$550:$554</definedName>
    <definedName name="MO_SPT_StockHigh_Sources_Bloomberg">Model!$551:$551</definedName>
    <definedName name="MO_SPT_StockHigh_Sources_CapIQ">Model!$552:$552</definedName>
    <definedName name="MO_SPT_StockHigh_Sources_FactSet">Model!$553:$553</definedName>
    <definedName name="MO_SPT_StockHigh_Sources_RealTimeOff">Model!$550:$550</definedName>
    <definedName name="MO_SPT_StockHigh_Sources_Thomson">Model!$554:$554</definedName>
    <definedName name="MO_SPT_StockLow">Model!$556:$556</definedName>
    <definedName name="MO_SPT_StockLow_Sources">Model!$557:$561</definedName>
    <definedName name="MO_SPT_StockLow_Sources_Bloomberg">Model!$558:$558</definedName>
    <definedName name="MO_SPT_StockLow_Sources_CapIQ">Model!$559:$559</definedName>
    <definedName name="MO_SPT_StockLow_Sources_FactSet">Model!$560:$560</definedName>
    <definedName name="MO_SPT_StockLow_Sources_RealTimeOff">Model!$557:$557</definedName>
    <definedName name="MO_SPT_StockLow_Sources_Thomson">Model!$561:$561</definedName>
    <definedName name="MO_SubSection_BS_SE">Model!$444:$444</definedName>
    <definedName name="MO_SubSection_BS_TA">Model!$417:$417</definedName>
    <definedName name="MO_SubSection_BS_TL">Model!$432:$432</definedName>
    <definedName name="MO_SubSection_CCFS_CFF">Model!$344:$344</definedName>
    <definedName name="MO_SubSection_CCFS_CFI">Model!$325:$325</definedName>
    <definedName name="MO_SubSection_CCFS_CFO">Model!$313:$313</definedName>
    <definedName name="MO_SubSection_CFS_CFF">Model!$395:$395</definedName>
    <definedName name="MO_SubSection_CFS_CFI">Model!$376:$376</definedName>
    <definedName name="MO_SubSection_CFS_CFO">Model!$364:$364</definedName>
    <definedName name="MO_UI_OOE">Model!$40:$40</definedName>
    <definedName name="MO_UI_PBCD">Model!$24:$24</definedName>
    <definedName name="MO_UI_Premiums">Model!$18:$18</definedName>
    <definedName name="MO_VA_FX_Average">Model!$308:$308</definedName>
    <definedName name="MO_VA_FX_EoP">Model!$309:$309</definedName>
    <definedName name="MO_VA_MarketCap">Model!$299:$299</definedName>
    <definedName name="MO_VA_P_ToB">Model!$302:$302</definedName>
    <definedName name="MO_VA_P_ToE">Model!$301:$301</definedName>
    <definedName name="MO_VA_StockPrice">Model!$298:$298</definedName>
    <definedName name="MO_VA_StockPrice_Avg">Model!$306:$306</definedName>
    <definedName name="MO_VA_StockPrice_EoP">Model!$307:$307</definedName>
    <definedName name="MO_VA_StockPrice_High">Model!$304:$304</definedName>
    <definedName name="MO_VA_StockPrice_Low">Model!$305:$305</definedName>
    <definedName name="MO_VA_StockPrice_TradingCurrency">Model!$310:$310</definedName>
    <definedName name="_xlnm.Print_Area" localSheetId="1">Model!$A$1:$BR$456</definedName>
    <definedName name="_xlnm.Print_Area" localSheetId="3">'Summary Page'!$A$1:$BR$63</definedName>
    <definedName name="_xlnm.Print_Titles" localSheetId="1">Model!$5:$5</definedName>
    <definedName name="SP.CompanyName">'Summary Page'!$A$1</definedName>
    <definedName name="SP.ReportFX">'Summary Page'!$B$2</definedName>
    <definedName name="SP.ValuationToggle">'Summary Page'!$B$4</definedName>
    <definedName name="SP_BSS_BVPS">'Summary Page'!$58:$58</definedName>
    <definedName name="SP_BSS_TBVPS">'Summary Page'!$59:$59</definedName>
    <definedName name="SP_Checks_SummaryPage">'Summary Page'!$C$66:$XFD$66</definedName>
    <definedName name="SP_Common_Column_A">'Summary Page'!$A:$A</definedName>
    <definedName name="SP_Common_Column_B">'Summary Page'!$B:$B</definedName>
    <definedName name="SP_Common_ColumnHeader">'Summary Page'!$2:$2</definedName>
    <definedName name="SP_Common_QEndDate">'Summary Page'!$1:$1</definedName>
    <definedName name="SP_CS_MarketCap">'Summary Page'!$6:$6</definedName>
    <definedName name="SP_CS_ShareCount">'Summary Page'!$5:$5</definedName>
    <definedName name="SP_CS_ShareCount_EoP_Diluted">'Summary Page'!$5:$5</definedName>
    <definedName name="SP_CS_StockPrice">'Summary Page'!$4:$4</definedName>
    <definedName name="SP_DS_DPS">'Summary Page'!$50:$50</definedName>
    <definedName name="SP_DS_PayoutRatio">'Summary Page'!$51:$51</definedName>
    <definedName name="SP_GF_DisCont">'Summary Page'!$38:$38</definedName>
    <definedName name="SP_GF_Div_Prefs">'Summary Page'!$40:$40</definedName>
    <definedName name="SP_GF_EBT">'Summary Page'!$35:$35</definedName>
    <definedName name="SP_GF_EI">'Summary Page'!$37:$37</definedName>
    <definedName name="SP_GF_EPS_WAD">'Summary Page'!$42:$42</definedName>
    <definedName name="SP_GF_IE">'Summary Page'!$32:$32</definedName>
    <definedName name="SP_GF_NCI">'Summary Page'!$39:$39</definedName>
    <definedName name="SP_GF_NetIG">'Summary Page'!$28:$28</definedName>
    <definedName name="SP_GF_NetII">'Summary Page'!$27:$27</definedName>
    <definedName name="SP_GF_NI">'Summary Page'!$41:$41</definedName>
    <definedName name="SP_GF_OI">'Summary Page'!$33:$33</definedName>
    <definedName name="SP_GF_OPEX">'Summary Page'!$31:$31</definedName>
    <definedName name="SP_GF_OtherIncome">'Summary Page'!$29:$29</definedName>
    <definedName name="SP_GF_OTI">'Summary Page'!$34:$34</definedName>
    <definedName name="SP_GF_Premiums">'Summary Page'!$26:$26</definedName>
    <definedName name="SP_GF_Rev">'Summary Page'!$30:$30</definedName>
    <definedName name="SP_GF_ShareCount">'Summary Page'!$43:$43</definedName>
    <definedName name="SP_GF_Tax">'Summary Page'!$36:$36</definedName>
    <definedName name="SP_II_InvestmentBalance">'Summary Page'!$19:$19</definedName>
    <definedName name="SP_II_NetIG">'Summary Page'!$23:$23</definedName>
    <definedName name="SP_II_NetII">'Summary Page'!$21:$21</definedName>
    <definedName name="SP_NGF_EPS">'Summary Page'!$47:$47</definedName>
    <definedName name="SP_NGF_NI">'Summary Page'!$46:$46</definedName>
    <definedName name="SP_PR_ROA">'Summary Page'!$54:$54</definedName>
    <definedName name="SP_PR_ROE">'Summary Page'!$55:$55</definedName>
    <definedName name="SP_Section_BalanceSheetSummary">'Summary Page'!$57:$57</definedName>
    <definedName name="SP_Section_CapitalizationSummary">'Summary Page'!$3:$3</definedName>
    <definedName name="SP_Section_Checks">'Summary Page'!$65:$65</definedName>
    <definedName name="SP_Section_DividendSummary">'Summary Page'!$49:$49</definedName>
    <definedName name="SP_Section_GAAPFinancials">'Summary Page'!$25:$25</definedName>
    <definedName name="SP_Section_II">'Summary Page'!$18:$18</definedName>
    <definedName name="SP_Section_LastRow">'Summary Page'!$68:$68</definedName>
    <definedName name="SP_Section_NonGAAPFinancials">'Summary Page'!$45:$45</definedName>
    <definedName name="SP_Section_ProfitabilityRatios">'Summary Page'!$53:$53</definedName>
    <definedName name="SP_Section_UI">'Summary Page'!$8:$8</definedName>
    <definedName name="SP_Section_ValuationMetrics">'Summary Page'!$61:$61</definedName>
    <definedName name="SP_VM_P_ToB">'Summary Page'!$63:$63</definedName>
    <definedName name="SP_VM_P_ToE">'Summary Page'!$62:$62</definedName>
    <definedName name="tb_ConsensusEstimate">Model!$A$536:$BR$544</definedName>
    <definedName name="tb_EntireModel">Model!$A$1:$BR$458</definedName>
    <definedName name="tb_Guidance_FY">Model!$A$530:$BR$534</definedName>
    <definedName name="tb_Guidance_Q">Model!$A$525:$BR$528</definedName>
    <definedName name="tb_KeyOutputs">Model!$A$493:$A$500</definedName>
    <definedName name="tb_KPIs">Model!$A$502:$A$523</definedName>
    <definedName name="tb_StockPrice">Model!$A$546:$BR$576</definedName>
    <definedName name="tb_Tickers">Model!$A$480:$A$485</definedName>
    <definedName name="tb_UpdateLog">'Update Log'!$C$10:$H$58</definedName>
    <definedName name="tb_ValuationToggle">Model!$A$487:$B$491</definedName>
    <definedName name="UL.CSIN">'Update Log'!$H$7</definedName>
    <definedName name="UL.ModelVersion">'Update Log'!$H$8</definedName>
    <definedName name="UL.MRQ">'Update Log'!$F$7</definedName>
    <definedName name="UL.MRQColNum">'Update Log'!$E$7</definedName>
    <definedName name="WS.CanalystName" localSheetId="0">"Front Page"</definedName>
    <definedName name="WS.CanalystName" localSheetId="1">"Model"</definedName>
    <definedName name="WS.CanalystName" localSheetId="3">"Summary Page"</definedName>
    <definedName name="WS.CanalystName" localSheetId="4">"Update Log"</definedName>
    <definedName name="z_BFIGLN0159_MO_AN_Adjustedearnings">Model!$196:$196</definedName>
    <definedName name="z_BFIGLN0159_MO_AN_Adjustedearningsexcludingcurrentperiodforeigncurrencyimpact">Model!$198:$198</definedName>
    <definedName name="z_BFIGLN0159_MO_AN_Currentperiodforeigncurrencyimpact">Model!$197:$197</definedName>
    <definedName name="z_BFIGLN0159_MO_AN_Incometaxbenefitexpenseonitemsexcludedfromadjustedearnings">Model!$193:$193</definedName>
    <definedName name="z_BFIGLN0159_MO_AN_NetEarnings">Model!$190:$190</definedName>
    <definedName name="z_BFIGLN0159_MO_AN_Otherandnonrecurringincomeloss">Model!$192:$192</definedName>
    <definedName name="z_BFIGLN0159_MO_AN_Realizedinvestmentgainslosses">Model!$191:$191</definedName>
    <definedName name="z_BFIGLN0159_MO_AN_Taxreformadjustment">Model!$194:$194</definedName>
    <definedName name="z_BFIGLN0159_MO_AN_Taxvaluationallowancerelease">Model!$195:$195</definedName>
    <definedName name="z_BFIGLN0159_MO_AN_totaldeferredincometax">Model!$188:$188</definedName>
    <definedName name="z_BFIGLN0159_MO_BlankRow_AN">Model!$199:$199</definedName>
    <definedName name="z_BFIGLN0159_MO_BlankRow_AN_1">Model!$189:$189</definedName>
    <definedName name="z_BFIGLN0159_MO_BlankRow_BS_3">Model!$431:$431</definedName>
    <definedName name="z_BFIGLN0159_MO_BlankRow_BS_4">Model!$443:$443</definedName>
    <definedName name="z_BFIGLN0159_MO_BlankRow_BS_5">Model!$457:$457</definedName>
    <definedName name="z_BFIGLN0159_MO_BlankRow_BS_6">Model!$459:$459</definedName>
    <definedName name="z_BFIGLN0159_MO_BlankRow_BSS">Model!$272:$272</definedName>
    <definedName name="z_BFIGLN0159_MO_BlankRow_BSS_1">Model!$276:$276</definedName>
    <definedName name="z_BFIGLN0159_MO_BlankRow_BSS_2">Model!$280:$280</definedName>
    <definedName name="z_BFIGLN0159_MO_BlankRow_CCFS">Model!$324:$324</definedName>
    <definedName name="z_BFIGLN0159_MO_BlankRow_CCFS_1">Model!$343:$343</definedName>
    <definedName name="z_BFIGLN0159_MO_BlankRow_CCFS_2">Model!$353:$353</definedName>
    <definedName name="z_BFIGLN0159_MO_BlankRow_CCFS_3">Model!$356:$356</definedName>
    <definedName name="z_BFIGLN0159_MO_BlankRow_CCFS_4">Model!$362:$362</definedName>
    <definedName name="z_BFIGLN0159_MO_BlankRow_CCFS_5">Model!$359:$359</definedName>
    <definedName name="z_BFIGLN0159_MO_BlankRow_CFS">Model!$375:$375</definedName>
    <definedName name="z_BFIGLN0159_MO_BlankRow_CFS_1">Model!$394:$394</definedName>
    <definedName name="z_BFIGLN0159_MO_BlankRow_CFS_2">Model!$404:$404</definedName>
    <definedName name="z_BFIGLN0159_MO_BlankRow_CFS_3">Model!$407:$407</definedName>
    <definedName name="z_BFIGLN0159_MO_BlankRow_CFS_4">Model!$413:$413</definedName>
    <definedName name="z_BFIGLN0159_MO_BlankRow_CFS_5">Model!$415:$415</definedName>
    <definedName name="z_BFIGLN0159_MO_BlankRow_CFS_6">Model!$410:$410</definedName>
    <definedName name="z_BFIGLN0159_MO_BlankRow_DS">Model!$261:$261</definedName>
    <definedName name="z_BFIGLN0159_MO_BlankRow_DS_1">Model!$263:$263</definedName>
    <definedName name="z_BFIGLN0159_MO_BlankRow_GA_1">Model!$12:$12</definedName>
    <definedName name="z_BFIGLN0159_MO_BlankRow_IS">Model!$184:$184</definedName>
    <definedName name="z_BFIGLN0159_MO_BlankRow_IS_1">Model!$186:$186</definedName>
    <definedName name="z_BFIGLN0159_MO_BlankRow_MA">Model!$300:$300</definedName>
    <definedName name="z_BFIGLN0159_MO_BlankRow_MA_1">Model!$311:$311</definedName>
    <definedName name="z_BFIGLN0159_MO_BlankRow_MA_2">Model!$303:$303</definedName>
    <definedName name="z_BFIGLN0159_MO_BlankRow_OS_1">Model!$19:$19</definedName>
    <definedName name="z_BFIGLN0159_MO_BlankRow_OS_10">Model!$296:$296</definedName>
    <definedName name="z_BFIGLN0159_MO_BlankRow_OS_11">Model!$30:$30</definedName>
    <definedName name="z_BFIGLN0159_MO_BlankRow_OS_12">Model!$53:$53</definedName>
    <definedName name="z_BFIGLN0159_MO_BlankRow_OS_13">Model!$57:$57</definedName>
    <definedName name="z_BFIGLN0159_MO_BlankRow_OS_14">Model!$59:$59</definedName>
    <definedName name="z_BFIGLN0159_MO_BlankRow_OS_15">Model!$97:$97</definedName>
    <definedName name="z_BFIGLN0159_MO_BlankRow_OS_16">Model!$35:$35</definedName>
    <definedName name="z_BFIGLN0159_MO_BlankRow_OS_17">Model!$128:$128</definedName>
    <definedName name="z_BFIGLN0159_MO_BlankRow_OS_18">Model!$147:$147</definedName>
    <definedName name="z_BFIGLN0159_MO_BlankRow_OS_19">Model!$41:$41</definedName>
    <definedName name="z_BFIGLN0159_MO_BlankRow_OS_2">Model!$25:$25</definedName>
    <definedName name="z_BFIGLN0159_MO_BlankRow_OS_20">Model!$44:$44</definedName>
    <definedName name="z_BFIGLN0159_MO_BlankRow_OS_21">Model!$48:$48</definedName>
    <definedName name="z_BFIGLN0159_MO_BlankRow_OS_22">Model!$50:$50</definedName>
    <definedName name="z_BFIGLN0159_MO_BlankRow_OS_23">Model!$77:$77</definedName>
    <definedName name="z_BFIGLN0159_MO_BlankRow_OS_24">Model!$79:$79</definedName>
    <definedName name="z_BFIGLN0159_MO_BlankRow_OS_25">Model!$90:$90</definedName>
    <definedName name="z_BFIGLN0159_MO_BlankRow_OS_26">Model!$92:$92</definedName>
    <definedName name="z_BFIGLN0159_MO_BlankRow_OS_27">Model!$98:$98</definedName>
    <definedName name="z_BFIGLN0159_MO_BlankRow_OS_28">Model!$100:$100</definedName>
    <definedName name="z_BFIGLN0159_MO_BlankRow_OS_29">Model!$107:$107</definedName>
    <definedName name="z_BFIGLN0159_MO_BlankRow_OS_3">"Deleted"</definedName>
    <definedName name="z_BFIGLN0159_MO_BlankRow_OS_30">Model!$109:$109</definedName>
    <definedName name="z_BFIGLN0159_MO_BlankRow_OS_31">Model!$120:$120</definedName>
    <definedName name="z_BFIGLN0159_MO_BlankRow_OS_32">Model!$122:$122</definedName>
    <definedName name="z_BFIGLN0159_MO_BlankRow_OS_33">Model!$135:$135</definedName>
    <definedName name="z_BFIGLN0159_MO_BlankRow_OS_34">Model!$137:$137</definedName>
    <definedName name="z_BFIGLN0159_MO_BlankRow_OS_35">Model!$249:$249</definedName>
    <definedName name="z_BFIGLN0159_MO_BlankRow_OS_36">Model!$257:$257</definedName>
    <definedName name="z_BFIGLN0159_MO_BlankRow_OS_37">Model!$161:$161</definedName>
    <definedName name="z_BFIGLN0159_MO_BlankRow_OS_38">Model!$154:$154</definedName>
    <definedName name="z_BFIGLN0159_MO_BlankRow_OS_39">Model!$252:$252</definedName>
    <definedName name="z_BFIGLN0159_MO_BlankRow_OS_4">Model!$67:$67</definedName>
    <definedName name="z_BFIGLN0159_MO_BlankRow_OS_40">Model!$255:$255</definedName>
    <definedName name="z_BFIGLN0159_MO_BlankRow_OS_5">Model!$73:$73</definedName>
    <definedName name="z_BFIGLN0159_MO_BlankRow_OS_7">Model!$287:$287</definedName>
    <definedName name="z_BFIGLN0159_MO_BlankRow_OS_8">Model!$289:$289</definedName>
    <definedName name="z_BFIGLN0159_MO_BlankRow_OS_9">Model!$293:$293</definedName>
    <definedName name="z_BFIGLN0159_MO_BlankRow_RIS">Model!$207:$207</definedName>
    <definedName name="z_BFIGLN0159_MO_BlankRow_RIS_1">Model!$214:$214</definedName>
    <definedName name="z_BFIGLN0159_MO_BlankRow_RIS_2">Model!$228:$228</definedName>
    <definedName name="z_BFIGLN0159_MO_BlankRow_RIS_3">Model!$231:$231</definedName>
    <definedName name="z_BFIGLN0159_MO_BlankRow_RIS_4">Model!$236:$236</definedName>
    <definedName name="z_BFIGLN0159_MO_BlankRow_RIS_5">Model!$240:$240</definedName>
    <definedName name="z_BFIGLN0159_MO_BlankRow_SNA">Model!$477:$477</definedName>
    <definedName name="z_BFIGLN0159_MO_BlankRow_SNA_1">Model!$479:$479</definedName>
    <definedName name="z_BFIGLN0159_MO_BlankRow_SNA_10">Model!$569:$569</definedName>
    <definedName name="z_BFIGLN0159_MO_BlankRow_SNA_11">Model!$576:$576</definedName>
    <definedName name="z_BFIGLN0159_MO_BlankRow_SNA_12">Model!$581:$581</definedName>
    <definedName name="z_BFIGLN0159_MO_BlankRow_SNA_13">Model!$599:$599</definedName>
    <definedName name="z_BFIGLN0159_MO_BlankRow_SNA_14">Model!$580:$580</definedName>
    <definedName name="z_BFIGLN0159_MO_BlankRow_SNA_15">Model!$523:$523</definedName>
    <definedName name="z_BFIGLN0159_MO_BlankRow_SNA_16">Model!$524:$524</definedName>
    <definedName name="z_BFIGLN0159_MO_BlankRow_SNA_17">Model!$528:$528</definedName>
    <definedName name="z_BFIGLN0159_MO_BlankRow_SNA_18">Model!$529:$529</definedName>
    <definedName name="z_BFIGLN0159_MO_BlankRow_SNA_19">Model!$534:$534</definedName>
    <definedName name="z_BFIGLN0159_MO_BlankRow_SNA_2">Model!$486:$486</definedName>
    <definedName name="z_BFIGLN0159_MO_BlankRow_SNA_20">Model!$535:$535</definedName>
    <definedName name="z_BFIGLN0159_MO_BlankRow_SNA_3">Model!$492:$492</definedName>
    <definedName name="z_BFIGLN0159_MO_BlankRow_SNA_4">Model!$500:$500</definedName>
    <definedName name="z_BFIGLN0159_MO_BlankRow_SNA_5">Model!$501:$501</definedName>
    <definedName name="z_BFIGLN0159_MO_BlankRow_SNA_6">Model!$544:$544</definedName>
    <definedName name="z_BFIGLN0159_MO_BlankRow_SNA_7">Model!$545:$545</definedName>
    <definedName name="z_BFIGLN0159_MO_BlankRow_SNA_8">Model!$555:$555</definedName>
    <definedName name="z_BFIGLN0159_MO_BlankRow_SNA_9">Model!$562:$562</definedName>
    <definedName name="z_BFIGLN0159_MO_BS_accruedinvestmentincome">Model!$426:$426</definedName>
    <definedName name="z_BFIGLN0159_MO_BS_additionalpaidincapital">Model!$446:$446</definedName>
    <definedName name="z_BFIGLN0159_MO_BS_Assets">Model!$417:$417</definedName>
    <definedName name="z_BFIGLN0159_MO_BS_BSCheck">Model!$458:$458</definedName>
    <definedName name="z_BFIGLN0159_MO_BS_cashandcashequivalents">Model!$423:$423</definedName>
    <definedName name="z_BFIGLN0159_MO_BS_commonstock">Model!$445:$445</definedName>
    <definedName name="z_BFIGLN0159_MO_BS_Deferredpolicyacquisitioncosts">Model!$427:$427</definedName>
    <definedName name="z_BFIGLN0159_MO_BS_Equitysecuritiesavailableforsale">Model!$420:$420</definedName>
    <definedName name="z_BFIGLN0159_MO_BS_fixedmaturitiesavailableforsale">Model!$418:$418</definedName>
    <definedName name="z_BFIGLN0159_MO_BS_fixedmaturitiesheldtomaturity">Model!$421:$421</definedName>
    <definedName name="z_BFIGLN0159_MO_BS_futurepolicybenefits">Model!$433:$433</definedName>
    <definedName name="z_BFIGLN0159_MO_BS_incometaxes">Model!$438:$438</definedName>
    <definedName name="z_BFIGLN0159_MO_BS_Liabilities">Model!$432:$432</definedName>
    <definedName name="z_BFIGLN0159_MO_BS_NCI">Model!$455:$455</definedName>
    <definedName name="z_BFIGLN0159_MO_BS_notespayable">Model!$440:$440</definedName>
    <definedName name="z_BFIGLN0159_MO_BS_Other">Model!$429:$429</definedName>
    <definedName name="z_BFIGLN0159_MO_BS_Other_1">Model!$441:$441</definedName>
    <definedName name="z_BFIGLN0159_MO_BS_OtherInvestments">Model!$422:$422</definedName>
    <definedName name="z_BFIGLN0159_MO_BS_Otherpolicyholdersfunds">Model!$436:$436</definedName>
    <definedName name="z_BFIGLN0159_MO_BS_payablesforreturnofcashcollateralonloanedsecurities">Model!$439:$439</definedName>
    <definedName name="z_BFIGLN0159_MO_BS_pensionliabilityadjustment">Model!$452:$452</definedName>
    <definedName name="z_BFIGLN0159_MO_BS_perpetualsecuritiesavailableforsale">Model!$419:$419</definedName>
    <definedName name="z_BFIGLN0159_MO_BS_propertyandequipment">Model!$428:$428</definedName>
    <definedName name="z_BFIGLN0159_MO_BS_receivables">Model!$425:$425</definedName>
    <definedName name="z_BFIGLN0159_MO_BS_retainedearnings">Model!$447:$447</definedName>
    <definedName name="z_BFIGLN0159_MO_BS_ShareholdersEquity">Model!$444:$444</definedName>
    <definedName name="z_BFIGLN0159_MO_BS_TotalAssets">Model!$430:$430</definedName>
    <definedName name="z_BFIGLN0159_MO_BS_totalinvestmentsandcash">Model!$424:$424</definedName>
    <definedName name="z_BFIGLN0159_MO_BS_TotalLiabilities">Model!$442:$442</definedName>
    <definedName name="z_BFIGLN0159_MO_BS_TotalLiabilitiesSE">Model!$456:$456</definedName>
    <definedName name="z_BFIGLN0159_MO_BS_totalpolicyliabilities">Model!$437:$437</definedName>
    <definedName name="z_BFIGLN0159_MO_BS_TotalSE">Model!$454:$454</definedName>
    <definedName name="z_BFIGLN0159_MO_BS_treasurystock">Model!$453:$453</definedName>
    <definedName name="z_BFIGLN0159_MO_BS_unearnedpremiums">Model!$435:$435</definedName>
    <definedName name="z_BFIGLN0159_MO_BS_unpaidpolicyclaims">Model!$434:$434</definedName>
    <definedName name="z_BFIGLN0159_MO_BS_unrealizedforeigncurrencytranslationgainslosses">Model!$448:$448</definedName>
    <definedName name="z_BFIGLN0159_MO_BS_unrealizedgainlossesoninvestmentsecurities">Model!$450:$450</definedName>
    <definedName name="z_BFIGLN0159_MO_BS_unrealizedgainslossesonderivatives">Model!$451:$451</definedName>
    <definedName name="z_BFIGLN0159_MO_BS_Unrealizedgainslossesonsecuritiesnototherthantemporarilyimpaired">Model!$449:$449</definedName>
    <definedName name="z_BFIGLN0159_MO_BSS_AdjustedValueperCommonShare">Model!$275:$275</definedName>
    <definedName name="z_BFIGLN0159_MO_BSS_BookValueperCommonShare">Model!$273:$273</definedName>
    <definedName name="z_BFIGLN0159_MO_BSS_consensusestimatesbookvaluepercommonshare">Model!$274:$274</definedName>
    <definedName name="z_BFIGLN0159_MO_BSS_ConsensusEstimatesReturnonAverageCommonEquity">Model!$279:$279</definedName>
    <definedName name="z_BFIGLN0159_MO_BSS_Effectofchangeindiscountrateassumptions">Model!$269:$269</definedName>
    <definedName name="z_BFIGLN0159_MO_BSS_Pensionliabilityadjustment">Model!$270:$270</definedName>
    <definedName name="z_BFIGLN0159_MO_BSS_ReturnonAverageCommonEquity">Model!$278:$278</definedName>
    <definedName name="z_BFIGLN0159_MO_BSS_ReturnonAverageTotalAssets">Model!$277:$277</definedName>
    <definedName name="z_BFIGLN0159_MO_BSS_TotalAdjustedCommonEquity">Model!$271:$271</definedName>
    <definedName name="z_BFIGLN0159_MO_BSS_TotalCommonShareholdersEquity">Model!$266:$266</definedName>
    <definedName name="z_BFIGLN0159_MO_BSS_TotalEquity">Model!$265:$265</definedName>
    <definedName name="z_BFIGLN0159_MO_BSS_Unrealizedforeigncurrencytranslationgainslosses">Model!$267:$267</definedName>
    <definedName name="z_BFIGLN0159_MO_BSS_Unrealizedgainslossesonsecuritiesandderivatives">Model!$268:$268</definedName>
    <definedName name="z_BFIGLN0159_MO_CCFS_Availableforsaleequitysecuritiesacquired">Model!$334:$334</definedName>
    <definedName name="z_BFIGLN0159_MO_CCFS_availableforsalefixedmaturitiesacquired">Model!$333:$333</definedName>
    <definedName name="z_BFIGLN0159_MO_CCFS_BeginningCashBalance">Model!$357:$357</definedName>
    <definedName name="z_BFIGLN0159_MO_CCFS_Cashpaidforincometaxes">Model!$361:$361</definedName>
    <definedName name="z_BFIGLN0159_MO_CCFS_Cashpaidforinterest">Model!$360:$360</definedName>
    <definedName name="z_BFIGLN0159_MO_CCFS_cashreceivedascollateralonloanedsecurities">Model!$336:$336</definedName>
    <definedName name="z_BFIGLN0159_MO_CCFS_cashreceivedpledgedorreturnedascollateral">Model!$340:$340</definedName>
    <definedName name="z_BFIGLN0159_MO_CCFS_CFF">Model!$344:$344</definedName>
    <definedName name="z_BFIGLN0159_MO_CCFS_CFI">Model!$325:$325</definedName>
    <definedName name="z_BFIGLN0159_MO_CCFS_CFO">Model!$313:$313</definedName>
    <definedName name="z_BFIGLN0159_MO_CCFS_CFObeforeWC">Model!$316:$316</definedName>
    <definedName name="z_BFIGLN0159_MO_CCFS_changeinincometaxliabilities">Model!$320:$320</definedName>
    <definedName name="z_BFIGLN0159_MO_CCFS_changeininvestmenttypecontracts">Model!$349:$349</definedName>
    <definedName name="z_BFIGLN0159_MO_CCFS_changeinreceivablesandadvancepremiums">Model!$317:$317</definedName>
    <definedName name="z_BFIGLN0159_MO_CCFS_Commercialmortgageandotherloans">Model!$331:$331</definedName>
    <definedName name="z_BFIGLN0159_MO_CCFS_deferredincometax">Model!$315:$315</definedName>
    <definedName name="z_BFIGLN0159_MO_CCFS_Dividendspaidtoshareholders">Model!$348:$348</definedName>
    <definedName name="z_BFIGLN0159_MO_CCFS_EndingCashBalance">Model!$358:$358</definedName>
    <definedName name="z_BFIGLN0159_MO_CCFS_Equitysecuritiessold">Model!$330:$330</definedName>
    <definedName name="z_BFIGLN0159_MO_CCFS_fixedmaturitiesmaturedorcalled">Model!$327:$327</definedName>
    <definedName name="z_BFIGLN0159_MO_CCFS_fixedmaturitiesmaturedorcalled_1">Model!$332:$332</definedName>
    <definedName name="z_BFIGLN0159_MO_CCFS_fixedmaturitiessold">Model!$326:$326</definedName>
    <definedName name="z_BFIGLN0159_MO_CCFS_FX">Model!$354:$354</definedName>
    <definedName name="z_BFIGLN0159_MO_CCFS_heldtomaturityfixedmaturitiesacquired">Model!$335:$335</definedName>
    <definedName name="z_BFIGLN0159_MO_CCFS_Increaseindeferredpolicyacquisitioncosts">Model!$318:$318</definedName>
    <definedName name="z_BFIGLN0159_MO_CCFS_increaseinpolicyliabilities">Model!$319:$319</definedName>
    <definedName name="z_BFIGLN0159_MO_CCFS_NetCFF">Model!$352:$352</definedName>
    <definedName name="z_BFIGLN0159_MO_CCFS_NetCFI">Model!$342:$342</definedName>
    <definedName name="z_BFIGLN0159_MO_CCFS_NetCFO">Model!$323:$323</definedName>
    <definedName name="z_BFIGLN0159_MO_CCFS_NetChangeinCashBalance">Model!$355:$355</definedName>
    <definedName name="z_BFIGLN0159_MO_CCFS_netearnings">Model!$314:$314</definedName>
    <definedName name="z_BFIGLN0159_MO_CCFS_Other">Model!$322:$322</definedName>
    <definedName name="z_BFIGLN0159_MO_CCFS_Other_1">Model!$341:$341</definedName>
    <definedName name="z_BFIGLN0159_MO_CCFS_Other_2">Model!$351:$351</definedName>
    <definedName name="z_BFIGLN0159_MO_CCFS_Otherinvestments">Model!$337:$337</definedName>
    <definedName name="z_BFIGLN0159_MO_CCFS_perpetualsecuritiesmaturedorcalled">Model!$329:$329</definedName>
    <definedName name="z_BFIGLN0159_MO_CCFS_perpetualsecuritiessold">Model!$328:$328</definedName>
    <definedName name="z_BFIGLN0159_MO_CCFS_Principalpaymentsunderdebtobligations">Model!$347:$347</definedName>
    <definedName name="z_BFIGLN0159_MO_CCFS_proceedsfromborrowings">Model!$346:$346</definedName>
    <definedName name="z_BFIGLN0159_MO_CCFS_purchaseofsubsidiary">Model!$338:$338</definedName>
    <definedName name="z_BFIGLN0159_MO_CCFS_purchasesoftreasurystock">Model!$345:$345</definedName>
    <definedName name="z_BFIGLN0159_MO_CCFS_realizedinvestmentgainslosses">Model!$321:$321</definedName>
    <definedName name="z_BFIGLN0159_MO_CCFS_settlementofderivatives">Model!$339:$339</definedName>
    <definedName name="z_BFIGLN0159_MO_CCFS_treasurystockreissued">Model!$350:$350</definedName>
    <definedName name="z_BFIGLN0159_MO_CFS_Availableforsaleequitysecuritiesacquired">Model!$385:$385</definedName>
    <definedName name="z_BFIGLN0159_MO_CFS_availableforsalefixedmaturitiesacquired">Model!$384:$384</definedName>
    <definedName name="z_BFIGLN0159_MO_CFS_BeginningCashBalance">Model!$408:$408</definedName>
    <definedName name="z_BFIGLN0159_MO_CFS_Cashpaidforincometaxes">Model!$412:$412</definedName>
    <definedName name="z_BFIGLN0159_MO_CFS_Cashpaidforinterest">Model!$411:$411</definedName>
    <definedName name="z_BFIGLN0159_MO_CFS_cashreceivedascollateralonloanedsecurities">Model!$387:$387</definedName>
    <definedName name="z_BFIGLN0159_MO_CFS_cashreceivedpledgedorreturnedascollateral">Model!$391:$391</definedName>
    <definedName name="z_BFIGLN0159_MO_CFS_CFCheck">Model!$414:$414</definedName>
    <definedName name="z_BFIGLN0159_MO_CFS_CFF">Model!$395:$395</definedName>
    <definedName name="z_BFIGLN0159_MO_CFS_CFI">Model!$376:$376</definedName>
    <definedName name="z_BFIGLN0159_MO_CFS_CFO">Model!$364:$364</definedName>
    <definedName name="z_BFIGLN0159_MO_CFS_CFObeforeWC">Model!$367:$367</definedName>
    <definedName name="z_BFIGLN0159_MO_CFS_changeinincometaxliabilities">Model!$371:$371</definedName>
    <definedName name="z_BFIGLN0159_MO_CFS_changeininvestmenttypecontracts">Model!$400:$400</definedName>
    <definedName name="z_BFIGLN0159_MO_CFS_changeinreceivablesandadvancepremiums">Model!$368:$368</definedName>
    <definedName name="z_BFIGLN0159_MO_CFS_Commercialmortgageandotherloans">Model!$382:$382</definedName>
    <definedName name="z_BFIGLN0159_MO_CFS_deferredincometax">Model!$366:$366</definedName>
    <definedName name="z_BFIGLN0159_MO_CFS_Dividendspaidtoshareholders">Model!$399:$399</definedName>
    <definedName name="z_BFIGLN0159_MO_CFS_EndingCashBalance">Model!$409:$409</definedName>
    <definedName name="z_BFIGLN0159_MO_CFS_Equitysecuritiessold">Model!$381:$381</definedName>
    <definedName name="z_BFIGLN0159_MO_CFS_fixedmaturitiesmaturedorcalled">Model!$378:$378</definedName>
    <definedName name="z_BFIGLN0159_MO_CFS_fixedmaturitiesmaturedorcalled_1">Model!$383:$383</definedName>
    <definedName name="z_BFIGLN0159_MO_CFS_fixedmaturitiessold">Model!$377:$377</definedName>
    <definedName name="z_BFIGLN0159_MO_CFS_FX">Model!$405:$405</definedName>
    <definedName name="z_BFIGLN0159_MO_CFS_heldtomaturityfixedmaturitiesacquired">Model!$386:$386</definedName>
    <definedName name="z_BFIGLN0159_MO_CFS_Increaseindeferredpolicyacquisitioncosts">Model!$369:$369</definedName>
    <definedName name="z_BFIGLN0159_MO_CFS_increaseinpolicyliabilities">Model!$370:$370</definedName>
    <definedName name="z_BFIGLN0159_MO_CFS_NetCFF">Model!$403:$403</definedName>
    <definedName name="z_BFIGLN0159_MO_CFS_NetCFI">Model!$393:$393</definedName>
    <definedName name="z_BFIGLN0159_MO_CFS_NetCFO">Model!$374:$374</definedName>
    <definedName name="z_BFIGLN0159_MO_CFS_NetChangeinCashBalance">Model!$406:$406</definedName>
    <definedName name="z_BFIGLN0159_MO_CFS_netearnings">Model!$365:$365</definedName>
    <definedName name="z_BFIGLN0159_MO_CFS_Other">Model!$373:$373</definedName>
    <definedName name="z_BFIGLN0159_MO_CFS_Other_1">Model!$392:$392</definedName>
    <definedName name="z_BFIGLN0159_MO_CFS_Other_2">Model!$402:$402</definedName>
    <definedName name="z_BFIGLN0159_MO_CFS_Otherinvestments">Model!$388:$388</definedName>
    <definedName name="z_BFIGLN0159_MO_CFS_perpetualsecuritiesmaturedorcalled">Model!$380:$380</definedName>
    <definedName name="z_BFIGLN0159_MO_CFS_perpetualsecuritiessold">Model!$379:$379</definedName>
    <definedName name="z_BFIGLN0159_MO_CFS_Principalpaymentsunderdebtobligations">Model!$398:$398</definedName>
    <definedName name="z_BFIGLN0159_MO_CFS_proceedsfromborrowings">Model!$397:$397</definedName>
    <definedName name="z_BFIGLN0159_MO_CFS_purchaseofsubsidiary">Model!$389:$389</definedName>
    <definedName name="z_BFIGLN0159_MO_CFS_purchasesoftreasurystock">Model!$396:$396</definedName>
    <definedName name="z_BFIGLN0159_MO_CFS_realizedinvestmentgainslosses">Model!$372:$372</definedName>
    <definedName name="z_BFIGLN0159_MO_CFS_settlementofderivatives">Model!$390:$390</definedName>
    <definedName name="z_BFIGLN0159_MO_CFS_treasurystockreissued">Model!$401:$401</definedName>
    <definedName name="z_BFIGLN0159_MO_Checks_SNA_BalanceSheetisnotRepeated">Model!$469:$469</definedName>
    <definedName name="z_BFIGLN0159_MO_Checks_SNA_CashBalance0">Model!$467:$467</definedName>
    <definedName name="z_BFIGLN0159_MO_Checks_SNA_CFFsubtotalFYSumofQs">Model!$476:$476</definedName>
    <definedName name="z_BFIGLN0159_MO_Checks_SNA_CFIsubtotalFYSumofQs">Model!$475:$475</definedName>
    <definedName name="z_BFIGLN0159_MO_Checks_SNA_CFOBeforeWCsubtotalFYSumofQs">Model!$473:$473</definedName>
    <definedName name="z_BFIGLN0159_MO_Checks_SNA_CFOsubtotalFYSumofQs">Model!$474:$474</definedName>
    <definedName name="z_BFIGLN0159_MO_Checks_SNA_EndingCFEndingCumulativeCF">Model!$470:$470</definedName>
    <definedName name="z_BFIGLN0159_MO_Checks_SNA_FPBFPBinBS">Model!$465:$465</definedName>
    <definedName name="z_BFIGLN0159_MO_Checks_SNA_IncomeStatementisnotRepeated">Model!$468:$468</definedName>
    <definedName name="z_BFIGLN0159_MO_Checks_SNA_InvestmentsInvestmentsinBS">Model!$466:$466</definedName>
    <definedName name="z_BFIGLN0159_MO_Checks_SNA_NetIINetIIinRIS">Model!$464:$464</definedName>
    <definedName name="z_BFIGLN0159_MO_Checks_SNA_NetIncomeonReportedISNIonRevised">Model!$462:$462</definedName>
    <definedName name="z_BFIGLN0159_MO_Checks_SNA_NetIncomeonRevisedISNIonCFstatement">Model!$461:$461</definedName>
    <definedName name="z_BFIGLN0159_MO_Checks_SNA_PremiumPremiuminRIS">Model!$463:$463</definedName>
    <definedName name="z_BFIGLN0159_MO_Checks_SNA_RISAdjustedNIFYSumofQs">Model!$472:$472</definedName>
    <definedName name="z_BFIGLN0159_MO_Checks_SNA_RISNIFYSumofQs">Model!$471:$471</definedName>
    <definedName name="z_BFIGLN0159_MO_DS_DividendPerCommonShare">Model!$260:$260</definedName>
    <definedName name="z_BFIGLN0159_MO_DS_DividendsPaidtoCommonShareholders">Model!$259:$259</definedName>
    <definedName name="z_BFIGLN0159_MO_DS_PayoutRatio">Model!$262:$262</definedName>
    <definedName name="z_BFIGLN0159_MO_GA_AflacJapanPremiumsgrowth">Model!$7:$7</definedName>
    <definedName name="z_BFIGLN0159_MO_GA_AflacUSPremiumsgrowth">Model!$8:$8</definedName>
    <definedName name="z_BFIGLN0159_MO_Header_ColumnHeader">Model!$5:$5</definedName>
    <definedName name="z_BFIGLN0159_MO_Header_CompanySubTitle">Model!$2:$2</definedName>
    <definedName name="z_BFIGLN0159_MO_Header_CompanyTitle">Model!$1:$1</definedName>
    <definedName name="z_BFIGLN0159_MO_Header_FPDays">Model!$3:$3</definedName>
    <definedName name="z_BFIGLN0159_MO_Header_QEndDate">Model!$4:$4</definedName>
    <definedName name="z_BFIGLN0159_MO_IS_Amortizationofdeferredpolicyacquisitioncosts">Model!$174:$174</definedName>
    <definedName name="z_BFIGLN0159_MO_IS_benefitsandclaims">Model!$173:$173</definedName>
    <definedName name="z_BFIGLN0159_MO_IS_Derivativeandothergainslosses">Model!$169:$169</definedName>
    <definedName name="z_BFIGLN0159_MO_IS_earningsbeforeincometaxes">Model!$181:$181</definedName>
    <definedName name="z_BFIGLN0159_MO_IS_insurancecommissions">Model!$175:$175</definedName>
    <definedName name="z_BFIGLN0159_MO_IS_insuranceexpenses">Model!$176:$176</definedName>
    <definedName name="z_BFIGLN0159_MO_IS_interestexpense">Model!$177:$177</definedName>
    <definedName name="z_BFIGLN0159_MO_IS_ISCheck">Model!$185:$185</definedName>
    <definedName name="z_BFIGLN0159_MO_IS_netearnings">Model!$183:$183</definedName>
    <definedName name="z_BFIGLN0159_MO_IS_netinvestmentincome">Model!$164:$164</definedName>
    <definedName name="z_BFIGLN0159_MO_IS_netpremiums">Model!$163:$163</definedName>
    <definedName name="z_BFIGLN0159_MO_IS_Otherincomeloss">Model!$171:$171</definedName>
    <definedName name="z_BFIGLN0159_MO_IS_Otheroperatingexpenses">Model!$178:$178</definedName>
    <definedName name="z_BFIGLN0159_MO_IS_Otherthantemporaryimpairmentlossesrealized">Model!$167:$167</definedName>
    <definedName name="z_BFIGLN0159_MO_IS_Otherthantemporaryimpairmentlossesrecognizedinothercomprehensiveincome">Model!$166:$166</definedName>
    <definedName name="z_BFIGLN0159_MO_IS_salesandredemptions">Model!$168:$168</definedName>
    <definedName name="z_BFIGLN0159_MO_IS_Totalacquisitionandoperatingexpenses">Model!$179:$179</definedName>
    <definedName name="z_BFIGLN0159_MO_IS_totalexpenses">Model!$180:$180</definedName>
    <definedName name="z_BFIGLN0159_MO_IS_totalincometaxexpense">Model!$182:$182</definedName>
    <definedName name="z_BFIGLN0159_MO_IS_Totalotherthantemporaryimpairmentlosses">Model!$165:$165</definedName>
    <definedName name="z_BFIGLN0159_MO_IS_totalrealizedinvestmentgainslosses">Model!$170:$170</definedName>
    <definedName name="z_BFIGLN0159_MO_IS_totalrevenues">Model!$172:$172</definedName>
    <definedName name="z_BFIGLN0159_MO_MA_AverageFXRate">Model!$308:$308</definedName>
    <definedName name="z_BFIGLN0159_MO_MA_EoPFXRate">Model!$309:$309</definedName>
    <definedName name="z_BFIGLN0159_MO_MA_StockEoP">Model!$307:$307</definedName>
    <definedName name="z_BFIGLN0159_MO_MA_StockPriceTradingCurAvg">Model!$310:$310</definedName>
    <definedName name="z_BFIGLN0159_MO_OS_AflacJapanAdjustedEBT">Model!$89:$89</definedName>
    <definedName name="z_BFIGLN0159_MO_OS_AflacJapanAdjustedNetInvestmentIncome">Model!$82:$82</definedName>
    <definedName name="z_BFIGLN0159_MO_OS_AflacJapanAdjustedNetInvestmentIncome_1">Model!$68:$68</definedName>
    <definedName name="z_BFIGLN0159_MO_OS_AflacJapanAmortizationofdeferredpolicyacquisitioncosts">Model!$86:$86</definedName>
    <definedName name="z_BFIGLN0159_MO_OS_AflacJapanAmortizationofdeferredpolicyacquisitioncosts_1">Model!$26:$26</definedName>
    <definedName name="z_BFIGLN0159_MO_OS_AflacJapanAmortizationofdeferredpolicyacquisitioncostsratio">Model!$94:$94</definedName>
    <definedName name="z_BFIGLN0159_MO_OS_AflacJapanBenefitsandclaims">Model!$85:$85</definedName>
    <definedName name="z_BFIGLN0159_MO_OS_AflacJapanBenefitsandclaims_1">Model!$20:$20</definedName>
    <definedName name="z_BFIGLN0159_MO_OS_AflacJapanBenefitsandclaimsratio">Model!$93:$93</definedName>
    <definedName name="z_BFIGLN0159_MO_OS_AflacJapanEmployees">Model!$156:$156</definedName>
    <definedName name="z_BFIGLN0159_MO_OS_AflacJapanInsuranceandotherexpenses">Model!$88:$88</definedName>
    <definedName name="z_BFIGLN0159_MO_OS_AflacJapanInsuranceandotherexpenses_1">Model!$36:$36</definedName>
    <definedName name="z_BFIGLN0159_MO_OS_AflacJapanInsuranceandotherexpensesratio">Model!$96:$96</definedName>
    <definedName name="z_BFIGLN0159_MO_OS_AflacJapanInsurancecommissions">Model!$87:$87</definedName>
    <definedName name="z_BFIGLN0159_MO_OS_AflacJapanInsurancecommissions_1">Model!$31:$31</definedName>
    <definedName name="z_BFIGLN0159_MO_OS_AflacJapanInsurancecommissionsratio">Model!$95:$95</definedName>
    <definedName name="z_BFIGLN0159_MO_OS_AflacJapanInvestmentsAvgofPeriod">Model!$105:$105</definedName>
    <definedName name="z_BFIGLN0159_MO_OS_AflacJapanInvestmentsBeginningofPeriod">Model!$102:$102</definedName>
    <definedName name="z_BFIGLN0159_MO_OS_AflacJapanInvestmentsChange">Model!$103:$103</definedName>
    <definedName name="z_BFIGLN0159_MO_OS_AflacJapanInvestmentsEndofPeriod">Model!$61:$61</definedName>
    <definedName name="z_BFIGLN0159_MO_OS_AflacJapanInvestmentsEndofPeriod_1">Model!$104:$104</definedName>
    <definedName name="z_BFIGLN0159_MO_OS_AflacJapanNetInvestmentIncomeYieldAnnualized">Model!$74:$74</definedName>
    <definedName name="z_BFIGLN0159_MO_OS_AflacJapanNetInvestmentIncomeYieldAnnualized_1">Model!$108:$108</definedName>
    <definedName name="z_BFIGLN0159_MO_OS_AflacJapanNetPremiumIncome">Model!$81:$81</definedName>
    <definedName name="z_BFIGLN0159_MO_OS_AflacJapanOtherIncome">Model!$83:$83</definedName>
    <definedName name="z_BFIGLN0159_MO_OS_AflacJapanPremiums">Model!$14:$14</definedName>
    <definedName name="z_BFIGLN0159_MO_OS_AflacJapanTotalAdjustedRevenues">Model!$84:$84</definedName>
    <definedName name="z_BFIGLN0159_MO_OS_AflacUSAdjustedEBT">Model!$119:$119</definedName>
    <definedName name="z_BFIGLN0159_MO_OS_AflacUSAdjustedNetInvestmentIncome">Model!$112:$112</definedName>
    <definedName name="z_BFIGLN0159_MO_OS_AflacUSAdjustedNetInvestmentIncome_1">Model!$69:$69</definedName>
    <definedName name="z_BFIGLN0159_MO_OS_AflacUSAmortizationofdeferredpolicyacquisitioncosts">Model!$116:$116</definedName>
    <definedName name="z_BFIGLN0159_MO_OS_AflacUSAmortizationofdeferredpolicyacquisitioncosts_1">Model!$27:$27</definedName>
    <definedName name="z_BFIGLN0159_MO_OS_AflacUSAmortizationofdeferredpolicyacquisitioncostsratio">Model!$124:$124</definedName>
    <definedName name="z_BFIGLN0159_MO_OS_AflacUSBenefitsandclaims">Model!$115:$115</definedName>
    <definedName name="z_BFIGLN0159_MO_OS_AflacUSBenefitsandclaims_1">Model!$21:$21</definedName>
    <definedName name="z_BFIGLN0159_MO_OS_AflacUSBenefitsandclaimsratio">Model!$123:$123</definedName>
    <definedName name="z_BFIGLN0159_MO_OS_AflacUSEmployees">Model!$157:$157</definedName>
    <definedName name="z_BFIGLN0159_MO_OS_AflacUSInsuranceandotherexpenses">Model!$118:$118</definedName>
    <definedName name="z_BFIGLN0159_MO_OS_AflacUSInsuranceandotherexpenses_1">Model!$37:$37</definedName>
    <definedName name="z_BFIGLN0159_MO_OS_AflacUSInsuranceandotherexpensesratio">Model!$126:$126</definedName>
    <definedName name="z_BFIGLN0159_MO_OS_AflacUSInsurancecommissions">Model!$117:$117</definedName>
    <definedName name="z_BFIGLN0159_MO_OS_AflacUSInsurancecommissions_1">Model!$32:$32</definedName>
    <definedName name="z_BFIGLN0159_MO_OS_AflacUSInsurancecommissionsratio">Model!$125:$125</definedName>
    <definedName name="z_BFIGLN0159_MO_OS_AflacUSInvestmentsAvgofPeriod">Model!$133:$133</definedName>
    <definedName name="z_BFIGLN0159_MO_OS_AflacUSInvestmentsBeginningofPeriod">Model!$130:$130</definedName>
    <definedName name="z_BFIGLN0159_MO_OS_AflacUSInvestmentsChange">Model!$131:$131</definedName>
    <definedName name="z_BFIGLN0159_MO_OS_AflacUSInvestmentsEndofPeriod">Model!$62:$62</definedName>
    <definedName name="z_BFIGLN0159_MO_OS_AflacUSInvestmentsEndofPeriod_1">Model!$132:$132</definedName>
    <definedName name="z_BFIGLN0159_MO_OS_AflacUSNetInvestmentIncomeYieldAnnualized">Model!$75:$75</definedName>
    <definedName name="z_BFIGLN0159_MO_OS_AflacUSNetInvestmentIncomeYieldAnnualized_1">Model!$136:$136</definedName>
    <definedName name="z_BFIGLN0159_MO_OS_AflacUSNetPremiumIncome">Model!$111:$111</definedName>
    <definedName name="z_BFIGLN0159_MO_OS_AflacUSOtherIncome">Model!$113:$113</definedName>
    <definedName name="z_BFIGLN0159_MO_OS_AflacUSPremiums">Model!$15:$15</definedName>
    <definedName name="z_BFIGLN0159_MO_OS_AflacUSPretaxadjustedearningsratio">Model!$127:$127</definedName>
    <definedName name="z_BFIGLN0159_MO_OS_AflacUSTotalAdjustedRevenues">Model!$114:$114</definedName>
    <definedName name="z_BFIGLN0159_MO_OS_AsaofFuturePolicyholderBenefitsandAccountBalances">Model!$65:$65</definedName>
    <definedName name="z_BFIGLN0159_MO_OS_AverageTotalInvestments">Model!$66:$66</definedName>
    <definedName name="z_BFIGLN0159_MO_OS_ChangeinAflacJapanInvestmentsEndofPeriod">Model!$106:$106</definedName>
    <definedName name="z_BFIGLN0159_MO_OS_ChangeinAflacUSInvestmentsEndofPeriod">Model!$134:$134</definedName>
    <definedName name="z_BFIGLN0159_MO_OS_ChangeinDACandVOBA">Model!$56:$56</definedName>
    <definedName name="z_BFIGLN0159_MO_OS_ChangeinFuturePolicyBenefits">Model!$47:$47</definedName>
    <definedName name="z_BFIGLN0159_MO_OS_CorporateandOtherAdjustedEBT">Model!$146:$146</definedName>
    <definedName name="z_BFIGLN0159_MO_OS_CorporateandOtherAdjustedNetInvestmentIncome">Model!$140:$140</definedName>
    <definedName name="z_BFIGLN0159_MO_OS_CorporateandOtherAdjustedNetInvestmentIncome_1">Model!$70:$70</definedName>
    <definedName name="z_BFIGLN0159_MO_OS_CorporateandOtherAmortizationofdeferredpolicyacquisitioncosts">Model!$144:$144</definedName>
    <definedName name="z_BFIGLN0159_MO_OS_CorporateandOtherBenefitsandclaims">Model!$143:$143</definedName>
    <definedName name="z_BFIGLN0159_MO_OS_CorporateandOtherBenefitsandclaims_1">Model!$22:$22</definedName>
    <definedName name="z_BFIGLN0159_MO_OS_CorporateandOtherInsuranceandotherexpenses">Model!$145:$145</definedName>
    <definedName name="z_BFIGLN0159_MO_OS_CorporateandOtherInvestmentsEndofPeriod">Model!$63:$63</definedName>
    <definedName name="z_BFIGLN0159_MO_OS_CorporateandOtherNetPremiumIncome">Model!$139:$139</definedName>
    <definedName name="z_BFIGLN0159_MO_OS_CorporateandOtherOtheradjustedexpenses">Model!$38:$38</definedName>
    <definedName name="z_BFIGLN0159_MO_OS_CorporateandOtherOtherIncome">Model!$141:$141</definedName>
    <definedName name="z_BFIGLN0159_MO_OS_CorporateandOtherPremiums">Model!$16:$16</definedName>
    <definedName name="z_BFIGLN0159_MO_OS_CorporateandOtherTotalAdjustedRevenues">Model!$142:$142</definedName>
    <definedName name="z_BFIGLN0159_MO_OS_Coverpagecommonstockoutstanding">Model!$250:$250</definedName>
    <definedName name="z_BFIGLN0159_MO_OS_DACandVOBA">Model!$52:$52</definedName>
    <definedName name="z_BFIGLN0159_MO_OS_Dateofcoverpagesharecount">Model!$251:$251</definedName>
    <definedName name="z_BFIGLN0159_MO_OS_DebttoCapitalRatio">Model!$288:$288</definedName>
    <definedName name="z_BFIGLN0159_MO_OS_DeferredAcquisitionCosts">Model!$29:$29</definedName>
    <definedName name="z_BFIGLN0159_MO_OS_Dilutedsharecounttobasicsharecountratio">Model!$254:$254</definedName>
    <definedName name="z_BFIGLN0159_MO_OS_DilutiveShares">Model!$253:$253</definedName>
    <definedName name="z_BFIGLN0159_MO_OS_Discrepancy">Model!$17:$17</definedName>
    <definedName name="z_BFIGLN0159_MO_OS_Discrepancy_1">Model!$23:$23</definedName>
    <definedName name="z_BFIGLN0159_MO_OS_Discrepancy_2">Model!$28:$28</definedName>
    <definedName name="z_BFIGLN0159_MO_OS_Discrepancy_3">Model!$33:$33</definedName>
    <definedName name="z_BFIGLN0159_MO_OS_Discrepancy_4">Model!$39:$39</definedName>
    <definedName name="z_BFIGLN0159_MO_OS_Discrepancy_5">Model!$71:$71</definedName>
    <definedName name="z_BFIGLN0159_MO_OS_EffectiveInterestRateonDebt">Model!$295:$295</definedName>
    <definedName name="z_BFIGLN0159_MO_OS_EoPTotalDilutedCommonStockOutstanding">Model!$256:$256</definedName>
    <definedName name="z_BFIGLN0159_MO_OS_EstimatedSharePriceforIssuanceBuybacks">Model!$292:$292</definedName>
    <definedName name="z_BFIGLN0159_MO_OS_FuturePolicyBenefitsIncurred">Model!$45:$45</definedName>
    <definedName name="z_BFIGLN0159_MO_OS_FuturePolicyBenefitsPaidImplied">Model!$46:$46</definedName>
    <definedName name="z_BFIGLN0159_MO_OS_FuturePolicyBenefitsPayoutRatio">Model!$49:$49</definedName>
    <definedName name="z_BFIGLN0159_MO_OS_FuturePolicyholderBenefitsandAccountBalances">Model!$43:$43</definedName>
    <definedName name="z_BFIGLN0159_MO_OS_InterestExpense">Model!$294:$294</definedName>
    <definedName name="z_BFIGLN0159_MO_OS_InterestExpense_1">Model!$151:$151</definedName>
    <definedName name="z_BFIGLN0159_MO_OS_Longtermdebt">Model!$283:$283</definedName>
    <definedName name="z_BFIGLN0159_MO_OS_NetDebtIssuanceRepayment">Model!$290:$290</definedName>
    <definedName name="z_BFIGLN0159_MO_OS_NetInvestmentGains">Model!$78:$78</definedName>
    <definedName name="z_BFIGLN0159_MO_OS_NetInvestmentIncome">Model!$72:$72</definedName>
    <definedName name="z_BFIGLN0159_MO_OS_netinvestmentincomegrowth">Model!$10:$10</definedName>
    <definedName name="z_BFIGLN0159_MO_OS_NetInvestmentYield">Model!$76:$76</definedName>
    <definedName name="z_BFIGLN0159_MO_OS_NetShareIssuanceBuybacks">Model!$291:$291</definedName>
    <definedName name="z_BFIGLN0159_MO_OS_OtherEmployees">Model!$158:$158</definedName>
    <definedName name="z_BFIGLN0159_MO_OS_OtherOperatingExpenses">Model!$40:$40</definedName>
    <definedName name="z_BFIGLN0159_MO_OS_OtherOperatingExpenses_1">Model!$152:$152</definedName>
    <definedName name="z_BFIGLN0159_MO_OS_PolicyAcquisitionExpenseIncurred">Model!$54:$54</definedName>
    <definedName name="z_BFIGLN0159_MO_OS_PolicyAcquisitionExpensePaidImplied">Model!$55:$55</definedName>
    <definedName name="z_BFIGLN0159_MO_OS_PolicyAcquisitionExpensePayoutRatio">Model!$58:$58</definedName>
    <definedName name="z_BFIGLN0159_MO_OS_PolicyholderBenefitsClaimsandDividends">Model!$24:$24</definedName>
    <definedName name="z_BFIGLN0159_MO_OS_PolicyholderBenefitsClaimsandDividends_1">Model!$149:$149</definedName>
    <definedName name="z_BFIGLN0159_MO_OS_Premiums">Model!$18:$18</definedName>
    <definedName name="z_BFIGLN0159_MO_OS_premiumsgrowth">Model!$9:$9</definedName>
    <definedName name="z_BFIGLN0159_MO_OS_QQbasicshareexpansionEoP">Model!$247:$247</definedName>
    <definedName name="z_BFIGLN0159_MO_OS_QQbasicshareexpansionfromdilutivesecurities">Model!$243:$243</definedName>
    <definedName name="z_BFIGLN0159_MO_OS_QQbasicshareexpansionfromshareissuancebuyback">Model!$245:$245</definedName>
    <definedName name="z_BFIGLN0159_MO_OS_Shorttermdebt">Model!$282:$282</definedName>
    <definedName name="z_BFIGLN0159_MO_OS_TotalAmortizationofDACandVOBA">Model!$150:$150</definedName>
    <definedName name="z_BFIGLN0159_MO_OS_TotalCapitalization">Model!$286:$286</definedName>
    <definedName name="z_BFIGLN0159_MO_OS_TotalDebt">Model!$284:$284</definedName>
    <definedName name="z_BFIGLN0159_MO_OS_TotalEmployees">Model!$159:$159</definedName>
    <definedName name="z_BFIGLN0159_MO_OS_TotalExpenses">Model!$153:$153</definedName>
    <definedName name="z_BFIGLN0159_MO_OS_TotalInsuranceCommissions">Model!$34:$34</definedName>
    <definedName name="z_BFIGLN0159_MO_OS_TotalInvestments">Model!$64:$64</definedName>
    <definedName name="z_BFIGLN0159_MO_OS_totalrevenuegrowth">Model!$11:$11</definedName>
    <definedName name="z_BFIGLN0159_MO_OS_TotalShareholdersEquity">Model!$285:$285</definedName>
    <definedName name="z_BFIGLN0159_MO_OS_Weightedaverageyendollarexchangerate">Model!$99:$99</definedName>
    <definedName name="z_BFIGLN0159_MO_OS_YYbasicshareexpansionEoP">Model!$248:$248</definedName>
    <definedName name="z_BFIGLN0159_MO_OS_YYbasicshareexpansionfromdilutivesecurities">Model!$244:$244</definedName>
    <definedName name="z_BFIGLN0159_MO_OS_YYbasicshareexpansionfromshareissuancebuyback">Model!$246:$246</definedName>
    <definedName name="z_BFIGLN0159_MO_OS_YYchangeinAflacJapanNetPremiumIncome">Model!$91:$91</definedName>
    <definedName name="z_BFIGLN0159_MO_OS_YYchangeinAflacUSNetPremiumIncome">Model!$121:$121</definedName>
    <definedName name="z_BFIGLN0159_MO_OS_YYTotalEmployeesGrowth">Model!$160:$160</definedName>
    <definedName name="z_BFIGLN0159_MO_RIS_AdjustedEarningsPerShareWAD">Model!$234:$234</definedName>
    <definedName name="z_BFIGLN0159_MO_RIS_AdjustedNetIncome">Model!$227:$227</definedName>
    <definedName name="z_BFIGLN0159_MO_RIS_AdjustedSharesOutstandingWAD">Model!$239:$239</definedName>
    <definedName name="z_BFIGLN0159_MO_RIS_AdjustmentsforConvertibleSecurities">Model!$223:$223</definedName>
    <definedName name="z_BFIGLN0159_MO_RIS_consensusestimatesadjustedearningspersharewad">Model!$235:$235</definedName>
    <definedName name="z_BFIGLN0159_MO_RIS_consensusestimatesebt">Model!$213:$213</definedName>
    <definedName name="z_BFIGLN0159_MO_RIS_consensusestimatesnetrevenue">Model!$206:$206</definedName>
    <definedName name="z_BFIGLN0159_MO_RIS_CurrentTax">Model!$215:$215</definedName>
    <definedName name="z_BFIGLN0159_MO_RIS_CurrentTaxRate">Model!$229:$229</definedName>
    <definedName name="z_BFIGLN0159_MO_RIS_DeferredTax">Model!$216:$216</definedName>
    <definedName name="z_BFIGLN0159_MO_RIS_DeferredTaxRate">Model!$230:$230</definedName>
    <definedName name="z_BFIGLN0159_MO_RIS_DilutedNetIncometoCommonShareholders">Model!$224:$224</definedName>
    <definedName name="z_BFIGLN0159_MO_RIS_DiscontinuedOperations">Model!$219:$219</definedName>
    <definedName name="z_BFIGLN0159_MO_RIS_EarningsfromEquityInvestments">Model!$218:$218</definedName>
    <definedName name="z_BFIGLN0159_MO_RIS_EarningsPerShareWAB">Model!$232:$232</definedName>
    <definedName name="z_BFIGLN0159_MO_RIS_EarningsPerShareWAD">Model!$233:$233</definedName>
    <definedName name="z_BFIGLN0159_MO_RIS_EarningstoPreferredandOtherSecurities">Model!$221:$221</definedName>
    <definedName name="z_BFIGLN0159_MO_RIS_EBT">Model!$212:$212</definedName>
    <definedName name="z_BFIGLN0159_MO_RIS_InterestExpense">Model!$209:$209</definedName>
    <definedName name="z_BFIGLN0159_MO_RIS_NetIncomefromContinuedOperation">Model!$217:$217</definedName>
    <definedName name="z_BFIGLN0159_MO_RIS_NetIncometoCommonShareholders">Model!$222:$222</definedName>
    <definedName name="z_BFIGLN0159_MO_RIS_NetIncometoNCI">Model!$220:$220</definedName>
    <definedName name="z_BFIGLN0159_MO_RIS_NetInvestmentGains">Model!$203:$203</definedName>
    <definedName name="z_BFIGLN0159_MO_RIS_NetInvestmentIncome">Model!$202:$202</definedName>
    <definedName name="z_BFIGLN0159_MO_RIS_NetRevenue">Model!$205:$205</definedName>
    <definedName name="z_BFIGLN0159_MO_RIS_NonGAAPAdjustments">Model!$225:$225</definedName>
    <definedName name="z_BFIGLN0159_MO_RIS_NonGAAPAdjustmentsforDilutiveSecurities">Model!$226:$226</definedName>
    <definedName name="z_BFIGLN0159_MO_RIS_OnetimeItems">Model!$211:$211</definedName>
    <definedName name="z_BFIGLN0159_MO_RIS_OPEX">Model!$208:$208</definedName>
    <definedName name="z_BFIGLN0159_MO_RIS_OtherIncome">Model!$204:$204</definedName>
    <definedName name="z_BFIGLN0159_MO_RIS_OtherItems">Model!$210:$210</definedName>
    <definedName name="z_BFIGLN0159_MO_RIS_Premiums">Model!$201:$201</definedName>
    <definedName name="z_BFIGLN0159_MO_RIS_SharesOutstandingEoPB">Model!$242:$242</definedName>
    <definedName name="z_BFIGLN0159_MO_RIS_SharesOutstandingWAB">Model!$237:$237</definedName>
    <definedName name="z_BFIGLN0159_MO_RIS_SharesOutstandingWAD">Model!$238:$238</definedName>
    <definedName name="z_BFIGLN0159_MO_Section_AN_AdjustedNumbers">Model!$187:$187</definedName>
    <definedName name="z_BFIGLN0159_MO_Section_BS_BalanceSheet">Model!$416:$416</definedName>
    <definedName name="z_BFIGLN0159_MO_Section_BSS_BalanceSheetSummary">Model!$264:$264</definedName>
    <definedName name="z_BFIGLN0159_MO_Section_CCFS_CumulativeCashFlowStatement">Model!$312:$312</definedName>
    <definedName name="z_BFIGLN0159_MO_Section_CFS_CashFlowStatement">Model!$363:$363</definedName>
    <definedName name="z_BFIGLN0159_MO_Section_DS_DividendSummary">Model!$258:$258</definedName>
    <definedName name="z_BFIGLN0159_MO_Section_GA_GrowthAnalysis">Model!$6:$6</definedName>
    <definedName name="z_BFIGLN0159_MO_Section_IS_IncomeStatement">Model!$162:$162</definedName>
    <definedName name="z_BFIGLN0159_MO_Section_MC_ModelChecks">Model!$460:$460</definedName>
    <definedName name="z_BFIGLN0159_MO_Section_OS_CapitalResources">Model!$281:$281</definedName>
    <definedName name="z_BFIGLN0159_MO_Section_OS_DeferredAcquisitionCostsandValueofBusinessAcquired">Model!$51:$51</definedName>
    <definedName name="z_BFIGLN0159_MO_Section_OS_FuturePolicyBenefits">Model!$42:$42</definedName>
    <definedName name="z_BFIGLN0159_MO_Section_OS_II">Model!$60:$60</definedName>
    <definedName name="z_BFIGLN0159_MO_Section_OS_InvestmentIncomeAflacJapanFS">Model!$101:$101</definedName>
    <definedName name="z_BFIGLN0159_MO_Section_OS_InvestmentIncomeAflacUSFS">Model!$129:$129</definedName>
    <definedName name="z_BFIGLN0159_MO_Section_OS_KeyMetricsDashboardMetricsFS">Model!$148:$148</definedName>
    <definedName name="z_BFIGLN0159_MO_Section_OS_KeyMetricsEmployeesFS">Model!$155:$155</definedName>
    <definedName name="z_BFIGLN0159_MO_Section_OS_SegmentedResultsAflacJapanFS">Model!$80:$80</definedName>
    <definedName name="z_BFIGLN0159_MO_Section_OS_SegmentedResultsAflacUSFS">Model!$110:$110</definedName>
    <definedName name="z_BFIGLN0159_MO_Section_OS_SegmentedResultsCorporateandOtherFS">Model!$138:$138</definedName>
    <definedName name="z_BFIGLN0159_MO_Section_OS_ShareCountAnalysis">Model!$241:$241</definedName>
    <definedName name="z_BFIGLN0159_MO_Section_OS_UI">Model!$13:$13</definedName>
    <definedName name="z_BFIGLN0159_MO_Section_RIS_RevisedIncomeStatement">Model!$200:$200</definedName>
    <definedName name="z_BFIGLN0159_MO_Section_SNA_Canalyst">Model!$600:$600</definedName>
    <definedName name="z_BFIGLN0159_MO_Section_TB_Tables">Model!$478:$478</definedName>
    <definedName name="z_BFIGLN0159_MO_Section_VA_Valuation">Model!$297:$297</definedName>
    <definedName name="z_BFIGLN0159_MO_Unstructured_SNA_AdjustedEarningsPerShareWAD">Model!$495:$495</definedName>
    <definedName name="z_BFIGLN0159_MO_Unstructured_SNA_AFLN">Model!$485:$485</definedName>
    <definedName name="z_BFIGLN0159_MO_Unstructured_SNA_AFLUS">Model!$482:$482</definedName>
    <definedName name="z_BFIGLN0159_MO_Unstructured_SNA_AFLUS_1">Model!$484:$484</definedName>
    <definedName name="z_BFIGLN0159_MO_Unstructured_SNA_AFLUS_2">Model!$481:$481</definedName>
    <definedName name="z_BFIGLN0159_MO_Unstructured_SNA_AnnualGuidanceTable">Model!$530:$530</definedName>
    <definedName name="z_BFIGLN0159_MO_Unstructured_SNA_ApplicablePeriod">Model!$527:$527</definedName>
    <definedName name="z_BFIGLN0159_MO_Unstructured_SNA_ApplicablePeriod_1">Model!$533:$533</definedName>
    <definedName name="z_BFIGLN0159_MO_Unstructured_SNA_ApplyTradeCurrencyScaling">Model!$587:$587</definedName>
    <definedName name="z_BFIGLN0159_MO_Unstructured_SNA_Avg">Model!$490:$490</definedName>
    <definedName name="z_BFIGLN0159_MO_Unstructured_SNA_Bloomberg">Model!$551:$551</definedName>
    <definedName name="z_BFIGLN0159_MO_Unstructured_SNA_Bloomberg_1">Model!$558:$558</definedName>
    <definedName name="z_BFIGLN0159_MO_Unstructured_SNA_Bloomberg_2">Model!$565:$565</definedName>
    <definedName name="z_BFIGLN0159_MO_Unstructured_SNA_Bloomberg_3">Model!$572:$572</definedName>
    <definedName name="z_BFIGLN0159_MO_Unstructured_SNA_BookValueperCommonShare">Model!$497:$497</definedName>
    <definedName name="z_BFIGLN0159_MO_Unstructured_SNA_CapitalIQ">Model!$552:$552</definedName>
    <definedName name="z_BFIGLN0159_MO_Unstructured_SNA_CapitalIQ_1">Model!$559:$559</definedName>
    <definedName name="z_BFIGLN0159_MO_Unstructured_SNA_CapitalIQ_2">Model!$566:$566</definedName>
    <definedName name="z_BFIGLN0159_MO_Unstructured_SNA_CapitalIQ_3">Model!$573:$573</definedName>
    <definedName name="z_BFIGLN0159_MO_Unstructured_SNA_ConsensusEstimatesAdjustedEarningsPerShareWAD">Model!$541:$541</definedName>
    <definedName name="z_BFIGLN0159_MO_Unstructured_SNA_ConsensusEstimatesBookValueperCommonShare">Model!$542:$542</definedName>
    <definedName name="z_BFIGLN0159_MO_Unstructured_SNA_ConsensusEstimatesEBT">Model!$540:$540</definedName>
    <definedName name="z_BFIGLN0159_MO_Unstructured_SNA_ConsensusEstimatesNetRevenue">Model!$539:$539</definedName>
    <definedName name="z_BFIGLN0159_MO_Unstructured_SNA_ConsensusEstimatesReturnonAverageCommonEquity">Model!$543:$543</definedName>
    <definedName name="z_BFIGLN0159_MO_Unstructured_SNA_ConsensusEstimateTable">Model!$536:$536</definedName>
    <definedName name="z_BFIGLN0159_MO_Unstructured_SNA_CurrentFiscalYear">Model!$595:$595</definedName>
    <definedName name="z_BFIGLN0159_MO_Unstructured_SNA_DataSourceIndex">Model!$598:$598</definedName>
    <definedName name="z_BFIGLN0159_MO_Unstructured_SNA_EoP">Model!$491:$491</definedName>
    <definedName name="z_BFIGLN0159_MO_Unstructured_SNA_FactSet">Model!$553:$553</definedName>
    <definedName name="z_BFIGLN0159_MO_Unstructured_SNA_FactSet_1">Model!$560:$560</definedName>
    <definedName name="z_BFIGLN0159_MO_Unstructured_SNA_FactSet_2">Model!$567:$567</definedName>
    <definedName name="z_BFIGLN0159_MO_Unstructured_SNA_FactSet_3">Model!$574:$574</definedName>
    <definedName name="z_BFIGLN0159_MO_Unstructured_SNA_FirstForecastFiscalYear">Model!$596:$596</definedName>
    <definedName name="z_BFIGLN0159_MO_Unstructured_SNA_FiscalPeriodStartDate">Model!$547:$547</definedName>
    <definedName name="z_BFIGLN0159_MO_Unstructured_SNA_FXAverageRealTimeOffSource">Model!$570:$570</definedName>
    <definedName name="z_BFIGLN0159_MO_Unstructured_SNA_FXEoP">Model!$579:$579</definedName>
    <definedName name="z_BFIGLN0159_MO_Unstructured_SNA_FYorFQ">Model!$537:$537</definedName>
    <definedName name="z_BFIGLN0159_MO_Unstructured_SNA_GeneralTable">Model!$582:$582</definedName>
    <definedName name="z_BFIGLN0159_MO_Unstructured_SNA_High">Model!$488:$488</definedName>
    <definedName name="z_BFIGLN0159_MO_Unstructured_SNA_IsHistoricalPeriod">Model!$548:$548</definedName>
    <definedName name="z_BFIGLN0159_MO_Unstructured_SNA_IsLatest">Model!$532:$532</definedName>
    <definedName name="z_BFIGLN0159_MO_Unstructured_SNA_KeyOutputs">Model!$493:$493</definedName>
    <definedName name="z_BFIGLN0159_MO_Unstructured_SNA_KPICount">Model!$597:$597</definedName>
    <definedName name="z_BFIGLN0159_MO_Unstructured_SNA_KPIData">Model!$502:$502</definedName>
    <definedName name="z_BFIGLN0159_MO_Unstructured_SNA_LastPrice">Model!$583:$583</definedName>
    <definedName name="z_BFIGLN0159_MO_Unstructured_SNA_LastPriceDate">Model!$584:$584</definedName>
    <definedName name="z_BFIGLN0159_MO_Unstructured_SNA_LastPriceFormula">Model!$586:$586</definedName>
    <definedName name="z_BFIGLN0159_MO_Unstructured_SNA_LastWorkingDayInPeriod">Model!$577:$577</definedName>
    <definedName name="z_BFIGLN0159_MO_Unstructured_SNA_Low">Model!$489:$489</definedName>
    <definedName name="z_BFIGLN0159_MO_Unstructured_SNA_MOBSSROA">Model!$518:$518</definedName>
    <definedName name="z_BFIGLN0159_MO_Unstructured_SNA_MOBSSROE">Model!$519:$519</definedName>
    <definedName name="z_BFIGLN0159_MO_Unstructured_SNA_MOCRDebtToCapitalRatio">Model!$520:$520</definedName>
    <definedName name="z_BFIGLN0159_MO_Unstructured_SNA_ModelSheetCurrencyHardcoded">Model!$590:$590</definedName>
    <definedName name="z_BFIGLN0159_MO_Unstructured_SNA_MODSPayoutRatio">Model!$521:$521</definedName>
    <definedName name="z_BFIGLN0159_MO_Unstructured_SNA_MOKPIDAC_1">Model!$522:$522</definedName>
    <definedName name="z_BFIGLN0159_MO_Unstructured_SNA_MOKPIDACAmortization">Model!$515:$515</definedName>
    <definedName name="z_BFIGLN0159_MO_Unstructured_SNA_MOKPIFPBandAB">Model!$507:$507</definedName>
    <definedName name="z_BFIGLN0159_MO_Unstructured_SNA_MOKPIFPBandABPayoutRatio">Model!$508:$508</definedName>
    <definedName name="z_BFIGLN0159_MO_Unstructured_SNA_MOKPIIE">Model!$516:$516</definedName>
    <definedName name="z_BFIGLN0159_MO_Unstructured_SNA_MOKPIInvestmentBalance">Model!$509:$509</definedName>
    <definedName name="z_BFIGLN0159_MO_Unstructured_SNA_MOKPINetIIYield">Model!$510:$510</definedName>
    <definedName name="z_BFIGLN0159_MO_Unstructured_SNA_MOKPIPBCD">Model!$514:$514</definedName>
    <definedName name="z_BFIGLN0159_MO_Unstructured_SNA_MOKPITotalExpenses">Model!$517:$517</definedName>
    <definedName name="z_BFIGLN0159_MO_Unstructured_SNA_MOOSEmployeeCount">Model!$506:$506</definedName>
    <definedName name="z_BFIGLN0159_MO_Unstructured_SNA_MORISEPSWADAdj">Model!$505:$505</definedName>
    <definedName name="z_BFIGLN0159_MO_Unstructured_SNA_MORISNEP">Model!$511:$511</definedName>
    <definedName name="z_BFIGLN0159_MO_Unstructured_SNA_MORISNetIG">Model!$512:$512</definedName>
    <definedName name="z_BFIGLN0159_MO_Unstructured_SNA_MORISNetII">Model!$513:$513</definedName>
    <definedName name="z_BFIGLN0159_MO_Unstructured_SNA_MORISNINONGAAPDiluted">Model!$504:$504</definedName>
    <definedName name="z_BFIGLN0159_MO_Unstructured_SNA_MORISREV">Model!$503:$503</definedName>
    <definedName name="z_BFIGLN0159_MO_Unstructured_SNA_MostRecentFiscalPeriodMRFP">Model!$594:$594</definedName>
    <definedName name="z_BFIGLN0159_MO_Unstructured_SNA_MostRecentFX">Model!$591:$591</definedName>
    <definedName name="z_BFIGLN0159_MO_Unstructured_SNA_MostRecentFXHardcoded">Model!$592:$592</definedName>
    <definedName name="z_BFIGLN0159_MO_Unstructured_SNA_MRFPColumnNumber">Model!$593:$593</definedName>
    <definedName name="z_BFIGLN0159_MO_Unstructured_SNA_NetRevenue">Model!$494:$494</definedName>
    <definedName name="z_BFIGLN0159_MO_Unstructured_SNA_NYSEAFL">Model!$483:$483</definedName>
    <definedName name="z_BFIGLN0159_MO_Unstructured_SNA_PBAvg">Model!$499:$499</definedName>
    <definedName name="z_BFIGLN0159_MO_Unstructured_SNA_PEAvg">Model!$498:$498</definedName>
    <definedName name="z_BFIGLN0159_MO_Unstructured_SNA_Period">Model!$538:$538</definedName>
    <definedName name="z_BFIGLN0159_MO_Unstructured_SNA_QuarterlyGuidanceTable">Model!$525:$525</definedName>
    <definedName name="z_BFIGLN0159_MO_Unstructured_SNA_RealTimeOffSource">Model!$550:$550</definedName>
    <definedName name="z_BFIGLN0159_MO_Unstructured_SNA_RealTimeOffSource_1">Model!$557:$557</definedName>
    <definedName name="z_BFIGLN0159_MO_Unstructured_SNA_RealTimeOffSource_2">Model!$564:$564</definedName>
    <definedName name="z_BFIGLN0159_MO_Unstructured_SNA_RealTimeOffSource_3">Model!$571:$571</definedName>
    <definedName name="z_BFIGLN0159_MO_Unstructured_SNA_RealTimeStockPrice">Model!$585:$585</definedName>
    <definedName name="z_BFIGLN0159_MO_Unstructured_SNA_Refinitiv">Model!$554:$554</definedName>
    <definedName name="z_BFIGLN0159_MO_Unstructured_SNA_Refinitiv_1">Model!$561:$561</definedName>
    <definedName name="z_BFIGLN0159_MO_Unstructured_SNA_Refinitiv_2">Model!$568:$568</definedName>
    <definedName name="z_BFIGLN0159_MO_Unstructured_SNA_Refinitiv_3">Model!$575:$575</definedName>
    <definedName name="z_BFIGLN0159_MO_Unstructured_SNA_ReportingDate">Model!$526:$526</definedName>
    <definedName name="z_BFIGLN0159_MO_Unstructured_SNA_ReportingDate_1">Model!$531:$531</definedName>
    <definedName name="z_BFIGLN0159_MO_Unstructured_SNA_ReturnonAverageCommonEquity">Model!$496:$496</definedName>
    <definedName name="z_BFIGLN0159_MO_Unstructured_SNA_StockAverageRealTimeOffSource">Model!$563:$563</definedName>
    <definedName name="z_BFIGLN0159_MO_Unstructured_SNA_StockHighRealTimeOffSource">Model!$549:$549</definedName>
    <definedName name="z_BFIGLN0159_MO_Unstructured_SNA_StockLowRealTimeOffSource">Model!$556:$556</definedName>
    <definedName name="z_BFIGLN0159_MO_Unstructured_SNA_StockPriceEoP">Model!$578:$578</definedName>
    <definedName name="z_BFIGLN0159_MO_Unstructured_SNA_StockPriceTable">Model!$546:$546</definedName>
    <definedName name="z_BFIGLN0159_MO_Unstructured_SNA_TickerSymbol">Model!$480:$480</definedName>
    <definedName name="z_BFIGLN0159_MO_Unstructured_SNA_TradeCurrency">Model!$588:$588</definedName>
    <definedName name="z_BFIGLN0159_MO_Unstructured_SNA_TradeCurrencyHardcoded">Model!$589:$589</definedName>
    <definedName name="z_BFIGLN0159_MO_Unstructured_SNA_ValuationToggleTable">Model!$487:$487</definedName>
    <definedName name="z_BFIGLN0159_MO_VA_MarketCapAverage">Model!$299:$299</definedName>
    <definedName name="z_BFIGLN0159_MO_VA_PBAverage">Model!$302:$302</definedName>
    <definedName name="z_BFIGLN0159_MO_VA_PEAverage">Model!$301:$301</definedName>
    <definedName name="z_BFIGLN0159_MO_VA_StockAvg">Model!$306:$306</definedName>
    <definedName name="z_BFIGLN0159_MO_VA_StockHigh">Model!$304:$304</definedName>
    <definedName name="z_BFIGLN0159_MO_VA_StockLow">Model!$305:$305</definedName>
    <definedName name="z_BFIGLN0159_MO_VA_StockPriceAverage">Model!$298:$298</definedName>
    <definedName name="AA.ModelColorScheme">"Classic"</definedName>
    <definedName name="AA.ColorizerVersion">"2.0.4.0"</definedName>
  </definedNames>
  <calcPr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1" l="1"/>
</calcChain>
</file>

<file path=xl/comments2.xml><?xml version="1.0" encoding="utf-8"?>
<comments xmlns="http://schemas.openxmlformats.org/spreadsheetml/2006/main" xmlns:mc="http://schemas.openxmlformats.org/markup-compatibility/2006" xmlns:xr="http://schemas.microsoft.com/office/spreadsheetml/2014/revision" mc:Ignorable="xr">
  <authors>
    <author>Canalyst (ATK)</author>
    <author>Tegus (SBM)</author>
    <author>Tegus (KuB)</author>
  </authors>
  <commentList>
    <comment ref="AV2" authorId="0" shapeId="0" xr:uid="{00000000-0006-0000-0100-000001000000}">
      <text>
        <r>
          <rPr>
            <b/>
            <sz val="9"/>
            <rFont val="Tahoma"/>
            <family val="2"/>
          </rPr>
          <t>Tegus (AHA):</t>
        </r>
        <r>
          <rPr>
            <sz val="9"/>
            <rFont val="Tahoma"/>
            <family val="2"/>
          </rPr>
          <t xml:space="preserve">
On January 1, 2023, the Company adopted LDTI employing a modified retrospective transition method. This period was restated</t>
        </r>
      </text>
    </comment>
    <comment ref="AW2" authorId="0" shapeId="0" xr:uid="{00000000-0006-0000-0100-000002000000}">
      <text>
        <r>
          <rPr>
            <b/>
            <sz val="9"/>
            <rFont val="Tahoma"/>
            <family val="2"/>
          </rPr>
          <t>Tegus (AHA):</t>
        </r>
        <r>
          <rPr>
            <sz val="9"/>
            <rFont val="Tahoma"/>
            <family val="2"/>
          </rPr>
          <t xml:space="preserve">
On January 1, 2023, the Company adopted LDTI employing a modified retrospective transition method. This period was restated</t>
        </r>
      </text>
    </comment>
    <comment ref="AX2" authorId="0" shapeId="0" xr:uid="{00000000-0006-0000-0100-000003000000}">
      <text>
        <r>
          <rPr>
            <b/>
            <sz val="9"/>
            <rFont val="Tahoma"/>
            <family val="2"/>
          </rPr>
          <t>Tegus (AHA):</t>
        </r>
        <r>
          <rPr>
            <sz val="9"/>
            <rFont val="Tahoma"/>
            <family val="2"/>
          </rPr>
          <t xml:space="preserve">
On January 1, 2023, the Company adopted LDTI employing a modified retrospective transition method. This period was restated</t>
        </r>
      </text>
    </comment>
    <comment ref="AY2" authorId="0" shapeId="0" xr:uid="{00000000-0006-0000-0100-000004000000}">
      <text>
        <r>
          <rPr>
            <b/>
            <sz val="9"/>
            <rFont val="Tahoma"/>
            <family val="2"/>
          </rPr>
          <t>Tegus (AHA):</t>
        </r>
        <r>
          <rPr>
            <sz val="9"/>
            <rFont val="Tahoma"/>
            <family val="2"/>
          </rPr>
          <t xml:space="preserve">
On January 1, 2023, the Company adopted LDTI employing a modified retrospective transition method. This period was restated</t>
        </r>
      </text>
    </comment>
    <comment ref="AZ2" authorId="0" shapeId="0" xr:uid="{00000000-0006-0000-0100-000005000000}">
      <text>
        <r>
          <rPr>
            <b/>
            <sz val="9"/>
            <rFont val="Tahoma"/>
            <family val="2"/>
          </rPr>
          <t>Tegus (AHA):</t>
        </r>
        <r>
          <rPr>
            <sz val="9"/>
            <rFont val="Tahoma"/>
            <family val="2"/>
          </rPr>
          <t xml:space="preserve">
On January 1, 2023, the Company adopted LDTI employing a modified retrospective transition method. This period was restated</t>
        </r>
      </text>
    </comment>
    <comment ref="M17" authorId="0" shapeId="0" xr:uid="{00000000-0006-0000-0100-000006000000}">
      <text>
        <r>
          <rPr>
            <b/>
            <sz val="9"/>
            <rFont val="Tahoma"/>
            <family val="2"/>
          </rPr>
          <t>Tegus (OG):</t>
        </r>
        <r>
          <rPr>
            <sz val="9"/>
            <rFont val="Tahoma"/>
            <family val="2"/>
          </rPr>
          <t xml:space="preserve">
discrepancy due to missing quarterly breakdown for corporate &amp; other segment</t>
        </r>
      </text>
    </comment>
    <comment ref="N17" authorId="0" shapeId="0" xr:uid="{00000000-0006-0000-0100-000007000000}">
      <text>
        <r>
          <rPr>
            <b/>
            <sz val="9"/>
            <rFont val="Tahoma"/>
            <family val="2"/>
          </rPr>
          <t>Tegus (OG):</t>
        </r>
        <r>
          <rPr>
            <sz val="9"/>
            <rFont val="Tahoma"/>
            <family val="2"/>
          </rPr>
          <t xml:space="preserve">
discrepancy due to missing quarterly breakdown for corporate &amp; other segment</t>
        </r>
      </text>
    </comment>
    <comment ref="O17" authorId="0" shapeId="0" xr:uid="{00000000-0006-0000-0100-000008000000}">
      <text>
        <r>
          <rPr>
            <b/>
            <sz val="9"/>
            <rFont val="Tahoma"/>
            <family val="2"/>
          </rPr>
          <t>Tegus (OG):</t>
        </r>
        <r>
          <rPr>
            <sz val="9"/>
            <rFont val="Tahoma"/>
            <family val="2"/>
          </rPr>
          <t xml:space="preserve">
discrepancy due to missing quarterly breakdown for corporate &amp; other segment</t>
        </r>
      </text>
    </comment>
    <comment ref="P17" authorId="0" shapeId="0" xr:uid="{00000000-0006-0000-0100-000009000000}">
      <text>
        <r>
          <rPr>
            <b/>
            <sz val="9"/>
            <rFont val="Tahoma"/>
            <family val="2"/>
          </rPr>
          <t>Tegus (OG):</t>
        </r>
        <r>
          <rPr>
            <sz val="9"/>
            <rFont val="Tahoma"/>
            <family val="2"/>
          </rPr>
          <t xml:space="preserve">
discrepancy due to missing quarterly breakdown for corporate &amp; other segment</t>
        </r>
      </text>
    </comment>
    <comment ref="R17" authorId="0" shapeId="0" xr:uid="{00000000-0006-0000-0100-00000A000000}">
      <text>
        <r>
          <rPr>
            <b/>
            <sz val="9"/>
            <rFont val="Tahoma"/>
            <family val="2"/>
          </rPr>
          <t>Tegus (OG):</t>
        </r>
        <r>
          <rPr>
            <sz val="9"/>
            <rFont val="Tahoma"/>
            <family val="2"/>
          </rPr>
          <t xml:space="preserve">
discrepancy due to missing quarterly breakdown for corporate &amp; other segment</t>
        </r>
      </text>
    </comment>
    <comment ref="S17" authorId="0" shapeId="0" xr:uid="{00000000-0006-0000-0100-00000B000000}">
      <text>
        <r>
          <rPr>
            <b/>
            <sz val="9"/>
            <rFont val="Tahoma"/>
            <family val="2"/>
          </rPr>
          <t>Tegus (OG):</t>
        </r>
        <r>
          <rPr>
            <sz val="9"/>
            <rFont val="Tahoma"/>
            <family val="2"/>
          </rPr>
          <t xml:space="preserve">
discrepancy due to missing quarterly breakdown for corporate &amp; other segment</t>
        </r>
      </text>
    </comment>
    <comment ref="T17" authorId="0" shapeId="0" xr:uid="{00000000-0006-0000-0100-00000C000000}">
      <text>
        <r>
          <rPr>
            <b/>
            <sz val="9"/>
            <rFont val="Tahoma"/>
            <family val="2"/>
          </rPr>
          <t>Tegus (OG):</t>
        </r>
        <r>
          <rPr>
            <sz val="9"/>
            <rFont val="Tahoma"/>
            <family val="2"/>
          </rPr>
          <t xml:space="preserve">
discrepancy due to missing quarterly breakdown for corporate &amp; other segment</t>
        </r>
      </text>
    </comment>
    <comment ref="U17" authorId="0" shapeId="0" xr:uid="{00000000-0006-0000-0100-00000D000000}">
      <text>
        <r>
          <rPr>
            <b/>
            <sz val="9"/>
            <rFont val="Tahoma"/>
            <family val="2"/>
          </rPr>
          <t>Tegus (OG):</t>
        </r>
        <r>
          <rPr>
            <sz val="9"/>
            <rFont val="Tahoma"/>
            <family val="2"/>
          </rPr>
          <t xml:space="preserve">
discrepancy due to missing quarterly breakdown for corporate &amp; other segment</t>
        </r>
      </text>
    </comment>
    <comment ref="M23" authorId="0" shapeId="0" xr:uid="{00000000-0006-0000-0100-00000E000000}">
      <text>
        <r>
          <rPr>
            <b/>
            <sz val="9"/>
            <rFont val="Tahoma"/>
            <family val="2"/>
          </rPr>
          <t>Tegus (OG):</t>
        </r>
        <r>
          <rPr>
            <sz val="9"/>
            <rFont val="Tahoma"/>
            <family val="2"/>
          </rPr>
          <t xml:space="preserve">
discrepancy due to missing quarterly breakdown for corporate &amp; other segment</t>
        </r>
      </text>
    </comment>
    <comment ref="N23" authorId="0" shapeId="0" xr:uid="{00000000-0006-0000-0100-00000F000000}">
      <text>
        <r>
          <rPr>
            <b/>
            <sz val="9"/>
            <rFont val="Tahoma"/>
            <family val="2"/>
          </rPr>
          <t>Tegus (OG):</t>
        </r>
        <r>
          <rPr>
            <sz val="9"/>
            <rFont val="Tahoma"/>
            <family val="2"/>
          </rPr>
          <t xml:space="preserve">
discrepancy due to missing quarterly breakdown for corporate &amp; other segment</t>
        </r>
      </text>
    </comment>
    <comment ref="O23" authorId="0" shapeId="0" xr:uid="{00000000-0006-0000-0100-000010000000}">
      <text>
        <r>
          <rPr>
            <b/>
            <sz val="9"/>
            <rFont val="Tahoma"/>
            <family val="2"/>
          </rPr>
          <t>Tegus (OG):</t>
        </r>
        <r>
          <rPr>
            <sz val="9"/>
            <rFont val="Tahoma"/>
            <family val="2"/>
          </rPr>
          <t xml:space="preserve">
discrepancy due to missing quarterly breakdown for corporate &amp; other segment</t>
        </r>
      </text>
    </comment>
    <comment ref="P23" authorId="0" shapeId="0" xr:uid="{00000000-0006-0000-0100-000011000000}">
      <text>
        <r>
          <rPr>
            <b/>
            <sz val="9"/>
            <rFont val="Tahoma"/>
            <family val="2"/>
          </rPr>
          <t>Tegus (OG):</t>
        </r>
        <r>
          <rPr>
            <sz val="9"/>
            <rFont val="Tahoma"/>
            <family val="2"/>
          </rPr>
          <t xml:space="preserve">
discrepancy due to missing quarterly breakdown for corporate &amp; other segment</t>
        </r>
      </text>
    </comment>
    <comment ref="R23" authorId="0" shapeId="0" xr:uid="{00000000-0006-0000-0100-000012000000}">
      <text>
        <r>
          <rPr>
            <b/>
            <sz val="9"/>
            <rFont val="Tahoma"/>
            <family val="2"/>
          </rPr>
          <t>Tegus (OG):</t>
        </r>
        <r>
          <rPr>
            <sz val="9"/>
            <rFont val="Tahoma"/>
            <family val="2"/>
          </rPr>
          <t xml:space="preserve">
discrepancy due to missing quarterly breakdown for corporate &amp; other segment</t>
        </r>
      </text>
    </comment>
    <comment ref="S23" authorId="0" shapeId="0" xr:uid="{00000000-0006-0000-0100-000013000000}">
      <text>
        <r>
          <rPr>
            <b/>
            <sz val="9"/>
            <rFont val="Tahoma"/>
            <family val="2"/>
          </rPr>
          <t>Tegus (OG):</t>
        </r>
        <r>
          <rPr>
            <sz val="9"/>
            <rFont val="Tahoma"/>
            <family val="2"/>
          </rPr>
          <t xml:space="preserve">
discrepancy due to missing quarterly breakdown for corporate &amp; other segment</t>
        </r>
      </text>
    </comment>
    <comment ref="T23" authorId="0" shapeId="0" xr:uid="{00000000-0006-0000-0100-000014000000}">
      <text>
        <r>
          <rPr>
            <b/>
            <sz val="9"/>
            <rFont val="Tahoma"/>
            <family val="2"/>
          </rPr>
          <t>Tegus (OG):</t>
        </r>
        <r>
          <rPr>
            <sz val="9"/>
            <rFont val="Tahoma"/>
            <family val="2"/>
          </rPr>
          <t xml:space="preserve">
discrepancy due to missing quarterly breakdown for corporate &amp; other segment</t>
        </r>
      </text>
    </comment>
    <comment ref="U23" authorId="0" shapeId="0" xr:uid="{00000000-0006-0000-0100-000015000000}">
      <text>
        <r>
          <rPr>
            <b/>
            <sz val="9"/>
            <rFont val="Tahoma"/>
            <family val="2"/>
          </rPr>
          <t>Tegus (OG):</t>
        </r>
        <r>
          <rPr>
            <sz val="9"/>
            <rFont val="Tahoma"/>
            <family val="2"/>
          </rPr>
          <t xml:space="preserve">
discrepancy due to missing quarterly breakdown for corporate &amp; other segment</t>
        </r>
      </text>
    </comment>
    <comment ref="A63" authorId="0" shapeId="0" xr:uid="{00000000-0006-0000-0100-000016000000}">
      <text>
        <r>
          <rPr>
            <b/>
            <sz val="9"/>
            <rFont val="Tahoma"/>
            <family val="2"/>
          </rPr>
          <t>Tegus (OG):</t>
        </r>
        <r>
          <rPr>
            <sz val="9"/>
            <rFont val="Tahoma"/>
            <family val="2"/>
          </rPr>
          <t xml:space="preserve">
backed out</t>
        </r>
      </text>
    </comment>
    <comment ref="AS89" authorId="0" shapeId="0" xr:uid="{00000000-0006-0000-0100-000017000000}">
      <text>
        <r>
          <rPr>
            <b/>
            <sz val="9"/>
            <rFont val="Tahoma"/>
            <family val="2"/>
          </rPr>
          <t>Tegus (HN):</t>
        </r>
        <r>
          <rPr>
            <sz val="9"/>
            <rFont val="Tahoma"/>
            <family val="2"/>
          </rPr>
          <t xml:space="preserve">
Reported as $976</t>
        </r>
      </text>
    </comment>
    <comment ref="AT89" authorId="0" shapeId="0" xr:uid="{00000000-0006-0000-0100-000018000000}">
      <text>
        <r>
          <rPr>
            <b/>
            <sz val="9"/>
            <rFont val="Tahoma"/>
            <family val="2"/>
          </rPr>
          <t>Tegus (SL):</t>
        </r>
        <r>
          <rPr>
            <sz val="9"/>
            <rFont val="Tahoma"/>
            <family val="2"/>
          </rPr>
          <t xml:space="preserve">
hardcoded as reported</t>
        </r>
      </text>
    </comment>
    <comment ref="AV89" authorId="0" shapeId="0" xr:uid="{00000000-0006-0000-0100-000019000000}">
      <text>
        <r>
          <rPr>
            <b/>
            <sz val="9"/>
            <rFont val="Tahoma"/>
            <family val="2"/>
          </rPr>
          <t>Tegus (AHA):</t>
        </r>
        <r>
          <rPr>
            <sz val="9"/>
            <rFont val="Tahoma"/>
            <family val="2"/>
          </rPr>
          <t xml:space="preserve">
Reported as 870</t>
        </r>
      </text>
    </comment>
    <comment ref="AX89" authorId="0" shapeId="0" xr:uid="{00000000-0006-0000-0100-00001A000000}">
      <text>
        <r>
          <rPr>
            <b/>
            <sz val="9"/>
            <rFont val="Tahoma"/>
            <family val="2"/>
          </rPr>
          <t>Tegus (AHA):</t>
        </r>
        <r>
          <rPr>
            <sz val="9"/>
            <rFont val="Tahoma"/>
            <family val="2"/>
          </rPr>
          <t xml:space="preserve">
Reported as 817</t>
        </r>
      </text>
    </comment>
    <comment ref="AY89" authorId="0" shapeId="0" xr:uid="{00000000-0006-0000-0100-00001B000000}">
      <text>
        <r>
          <rPr>
            <b/>
            <sz val="9"/>
            <rFont val="Tahoma"/>
            <family val="2"/>
          </rPr>
          <t>Tegus (AHA):</t>
        </r>
        <r>
          <rPr>
            <sz val="9"/>
            <rFont val="Tahoma"/>
            <family val="2"/>
          </rPr>
          <t xml:space="preserve">
Reported as 720</t>
        </r>
      </text>
    </comment>
    <comment ref="BC89" authorId="0" shapeId="0" xr:uid="{00000000-0006-0000-0100-00001C000000}">
      <text>
        <r>
          <rPr>
            <b/>
            <sz val="9"/>
            <rFont val="Tahoma"/>
            <family val="2"/>
          </rPr>
          <t>Tegus (SHK):</t>
        </r>
        <r>
          <rPr>
            <sz val="9"/>
            <rFont val="Tahoma"/>
            <family val="2"/>
          </rPr>
          <t xml:space="preserve">
Reported as 869</t>
        </r>
      </text>
    </comment>
    <comment ref="BE89" authorId="0" shapeId="0" xr:uid="{00000000-0006-0000-0100-00001D000000}">
      <text>
        <r>
          <rPr>
            <b/>
            <sz val="9"/>
            <rFont val="Tahoma"/>
            <family val="2"/>
          </rPr>
          <t>Tegus (FV):</t>
        </r>
        <r>
          <rPr>
            <sz val="9"/>
            <rFont val="Tahoma"/>
            <family val="2"/>
          </rPr>
          <t xml:space="preserve">
Reported as $3,234</t>
        </r>
      </text>
    </comment>
    <comment ref="BF89" authorId="0" shapeId="0" xr:uid="{00000000-0006-0000-0100-00001E000000}">
      <text>
        <r>
          <rPr>
            <b/>
            <sz val="9"/>
            <rFont val="Tahoma"/>
            <family val="2"/>
          </rPr>
          <t>Tegus (KuB):</t>
        </r>
        <r>
          <rPr>
            <sz val="9"/>
            <rFont val="Tahoma"/>
            <family val="2"/>
          </rPr>
          <t xml:space="preserve">
Reported as 810.</t>
        </r>
      </text>
    </comment>
    <comment ref="BG89" authorId="1" shapeId="0" xr:uid="{00000000-0006-0000-0100-00001F000000}">
      <text>
        <r>
          <rPr>
            <b/>
            <sz val="9"/>
            <rFont val="Tahoma"/>
            <family val="2"/>
          </rPr>
          <t>Tegus (SBM):</t>
        </r>
        <r>
          <rPr>
            <sz val="9"/>
            <rFont val="Tahoma"/>
            <family val="2"/>
          </rPr>
          <t xml:space="preserve">
Reported as 864.</t>
        </r>
      </text>
    </comment>
    <comment ref="K99" authorId="0" shapeId="0" xr:uid="{00000000-0006-0000-0100-000020000000}">
      <text>
        <r>
          <rPr>
            <b/>
            <sz val="9"/>
            <rFont val="Tahoma"/>
            <family val="2"/>
          </rPr>
          <t>Tegus (ArS):</t>
        </r>
        <r>
          <rPr>
            <sz val="9"/>
            <rFont val="Tahoma"/>
            <family val="2"/>
          </rPr>
          <t xml:space="preserve">
Backed out</t>
        </r>
      </text>
    </comment>
    <comment ref="P99" authorId="0" shapeId="0" xr:uid="{00000000-0006-0000-0100-000021000000}">
      <text>
        <r>
          <rPr>
            <b/>
            <sz val="9"/>
            <rFont val="Tahoma"/>
            <family val="2"/>
          </rPr>
          <t>Tegus (ArS):</t>
        </r>
        <r>
          <rPr>
            <sz val="9"/>
            <rFont val="Tahoma"/>
            <family val="2"/>
          </rPr>
          <t xml:space="preserve">
Backed out</t>
        </r>
      </text>
    </comment>
    <comment ref="U99" authorId="0" shapeId="0" xr:uid="{00000000-0006-0000-0100-000022000000}">
      <text>
        <r>
          <rPr>
            <b/>
            <sz val="9"/>
            <rFont val="Tahoma"/>
            <family val="2"/>
          </rPr>
          <t>Tegus (ArS):</t>
        </r>
        <r>
          <rPr>
            <sz val="9"/>
            <rFont val="Tahoma"/>
            <family val="2"/>
          </rPr>
          <t xml:space="preserve">
Backed out</t>
        </r>
      </text>
    </comment>
    <comment ref="Z99" authorId="0" shapeId="0" xr:uid="{00000000-0006-0000-0100-000023000000}">
      <text>
        <r>
          <rPr>
            <b/>
            <sz val="9"/>
            <rFont val="Tahoma"/>
            <family val="2"/>
          </rPr>
          <t>Tegus (ArS):</t>
        </r>
        <r>
          <rPr>
            <sz val="9"/>
            <rFont val="Tahoma"/>
            <family val="2"/>
          </rPr>
          <t xml:space="preserve">
Backed out</t>
        </r>
      </text>
    </comment>
    <comment ref="AQ119" authorId="0" shapeId="0" xr:uid="{00000000-0006-0000-0100-000024000000}">
      <text>
        <r>
          <rPr>
            <b/>
            <sz val="9"/>
            <rFont val="Tahoma"/>
            <family val="2"/>
          </rPr>
          <t>Tegus (HN):</t>
        </r>
        <r>
          <rPr>
            <sz val="9"/>
            <rFont val="Tahoma"/>
            <family val="2"/>
          </rPr>
          <t xml:space="preserve">
Reported as $445</t>
        </r>
      </text>
    </comment>
    <comment ref="AS119" authorId="0" shapeId="0" xr:uid="{00000000-0006-0000-0100-000025000000}">
      <text>
        <r>
          <rPr>
            <b/>
            <sz val="9"/>
            <rFont val="Tahoma"/>
            <family val="2"/>
          </rPr>
          <t>Tegus (HN):</t>
        </r>
        <r>
          <rPr>
            <sz val="9"/>
            <rFont val="Tahoma"/>
            <family val="2"/>
          </rPr>
          <t xml:space="preserve">
Reported as $358</t>
        </r>
      </text>
    </comment>
    <comment ref="AT119" authorId="0" shapeId="0" xr:uid="{00000000-0006-0000-0100-000026000000}">
      <text>
        <r>
          <rPr>
            <b/>
            <sz val="9"/>
            <rFont val="Tahoma"/>
            <family val="2"/>
          </rPr>
          <t>Tegus (SL):</t>
        </r>
        <r>
          <rPr>
            <sz val="9"/>
            <rFont val="Tahoma"/>
            <family val="2"/>
          </rPr>
          <t xml:space="preserve">
hardcoded as reported</t>
        </r>
      </text>
    </comment>
    <comment ref="AU119" authorId="0" shapeId="0" xr:uid="{00000000-0006-0000-0100-000027000000}">
      <text>
        <r>
          <rPr>
            <b/>
            <sz val="9"/>
            <rFont val="Tahoma"/>
            <family val="2"/>
          </rPr>
          <t>Tegus (SL):</t>
        </r>
        <r>
          <rPr>
            <sz val="9"/>
            <rFont val="Tahoma"/>
            <family val="2"/>
          </rPr>
          <t xml:space="preserve">
hardcoded as reported</t>
        </r>
      </text>
    </comment>
    <comment ref="AV119" authorId="0" shapeId="0" xr:uid="{00000000-0006-0000-0100-000028000000}">
      <text>
        <r>
          <rPr>
            <b/>
            <sz val="9"/>
            <rFont val="Tahoma"/>
            <family val="2"/>
          </rPr>
          <t>Tegus (AHA):</t>
        </r>
        <r>
          <rPr>
            <sz val="9"/>
            <rFont val="Tahoma"/>
            <family val="2"/>
          </rPr>
          <t xml:space="preserve">
Reported 333</t>
        </r>
      </text>
    </comment>
    <comment ref="AX119" authorId="0" shapeId="0" xr:uid="{00000000-0006-0000-0100-000029000000}">
      <text>
        <r>
          <rPr>
            <b/>
            <sz val="9"/>
            <rFont val="Tahoma"/>
            <family val="2"/>
          </rPr>
          <t>Tegus (AHA):</t>
        </r>
        <r>
          <rPr>
            <sz val="9"/>
            <rFont val="Tahoma"/>
            <family val="2"/>
          </rPr>
          <t xml:space="preserve">
Reported as 345</t>
        </r>
      </text>
    </comment>
    <comment ref="BA119" authorId="0" shapeId="0" xr:uid="{00000000-0006-0000-0100-00002A000000}">
      <text>
        <r>
          <rPr>
            <b/>
            <sz val="9"/>
            <rFont val="Tahoma"/>
            <family val="2"/>
          </rPr>
          <t>Tegus (KuB):</t>
        </r>
        <r>
          <rPr>
            <sz val="9"/>
            <rFont val="Tahoma"/>
            <family val="2"/>
          </rPr>
          <t xml:space="preserve">
Reported as 352</t>
        </r>
      </text>
    </comment>
    <comment ref="BC119" authorId="0" shapeId="0" xr:uid="{00000000-0006-0000-0100-00002B000000}">
      <text>
        <r>
          <rPr>
            <b/>
            <sz val="9"/>
            <rFont val="Tahoma"/>
            <family val="2"/>
          </rPr>
          <t>Tegus (SHK):</t>
        </r>
        <r>
          <rPr>
            <sz val="9"/>
            <rFont val="Tahoma"/>
            <family val="2"/>
          </rPr>
          <t xml:space="preserve">
Reported as 478</t>
        </r>
      </text>
    </comment>
    <comment ref="BD119" authorId="0" shapeId="0" xr:uid="{00000000-0006-0000-0100-00002C000000}">
      <text>
        <r>
          <rPr>
            <b/>
            <sz val="9"/>
            <rFont val="Tahoma"/>
            <family val="2"/>
          </rPr>
          <t>Tegus (FV):</t>
        </r>
        <r>
          <rPr>
            <sz val="9"/>
            <rFont val="Tahoma"/>
            <family val="2"/>
          </rPr>
          <t xml:space="preserve">
Reported as $302</t>
        </r>
      </text>
    </comment>
    <comment ref="BG119" authorId="1" shapeId="0" xr:uid="{00000000-0006-0000-0100-00002D000000}">
      <text>
        <r>
          <rPr>
            <b/>
            <sz val="9"/>
            <rFont val="Tahoma"/>
            <family val="2"/>
          </rPr>
          <t>Tegus (SBM):</t>
        </r>
        <r>
          <rPr>
            <sz val="9"/>
            <rFont val="Tahoma"/>
            <family val="2"/>
          </rPr>
          <t xml:space="preserve">
Reported as 383.</t>
        </r>
      </text>
    </comment>
    <comment ref="AW142" authorId="0" shapeId="0" xr:uid="{00000000-0006-0000-0100-00002E000000}">
      <text>
        <r>
          <rPr>
            <b/>
            <sz val="9"/>
            <rFont val="Tahoma"/>
            <family val="2"/>
          </rPr>
          <t>Tegus (AHA):</t>
        </r>
        <r>
          <rPr>
            <sz val="9"/>
            <rFont val="Tahoma"/>
            <family val="2"/>
          </rPr>
          <t xml:space="preserve">
Reported as 42</t>
        </r>
      </text>
    </comment>
    <comment ref="BB142" authorId="0" shapeId="0" xr:uid="{00000000-0006-0000-0100-00002F000000}">
      <text>
        <r>
          <rPr>
            <b/>
            <sz val="9"/>
            <rFont val="Tahoma"/>
            <family val="2"/>
          </rPr>
          <t>Tegus (ArS):</t>
        </r>
        <r>
          <rPr>
            <sz val="9"/>
            <rFont val="Tahoma"/>
            <family val="2"/>
          </rPr>
          <t xml:space="preserve">
Reported as 140</t>
        </r>
      </text>
    </comment>
    <comment ref="BC142" authorId="0" shapeId="0" xr:uid="{00000000-0006-0000-0100-000030000000}">
      <text>
        <r>
          <rPr>
            <b/>
            <sz val="9"/>
            <rFont val="Tahoma"/>
            <family val="2"/>
          </rPr>
          <t>Tegus (SHK):</t>
        </r>
        <r>
          <rPr>
            <sz val="9"/>
            <rFont val="Tahoma"/>
            <family val="2"/>
          </rPr>
          <t xml:space="preserve">
Reported as 115</t>
        </r>
      </text>
    </comment>
    <comment ref="BE142" authorId="0" shapeId="0" xr:uid="{00000000-0006-0000-0100-000031000000}">
      <text>
        <r>
          <rPr>
            <b/>
            <sz val="9"/>
            <rFont val="Tahoma"/>
            <family val="2"/>
          </rPr>
          <t>Tegus (FV):</t>
        </r>
        <r>
          <rPr>
            <sz val="9"/>
            <rFont val="Tahoma"/>
            <family val="2"/>
          </rPr>
          <t xml:space="preserve">
Reported as $460</t>
        </r>
      </text>
    </comment>
    <comment ref="BG142" authorId="1" shapeId="0" xr:uid="{00000000-0006-0000-0100-000032000000}">
      <text>
        <r>
          <rPr>
            <b/>
            <sz val="9"/>
            <rFont val="Tahoma"/>
            <family val="2"/>
          </rPr>
          <t>Tegus (SBM):</t>
        </r>
        <r>
          <rPr>
            <sz val="9"/>
            <rFont val="Tahoma"/>
            <family val="2"/>
          </rPr>
          <t xml:space="preserve">
Reported as 249.</t>
        </r>
      </text>
    </comment>
    <comment ref="BJ144" authorId="0" shapeId="0" xr:uid="{00000000-0006-0000-0100-000033000000}">
      <text>
        <r>
          <rPr>
            <b/>
            <sz val="9"/>
            <rFont val="Tahoma"/>
            <family val="2"/>
          </rPr>
          <t>Tegus (OG):</t>
        </r>
        <r>
          <rPr>
            <sz val="9"/>
            <rFont val="Tahoma"/>
            <family val="2"/>
          </rPr>
          <t xml:space="preserve">
interest expense is forecasted on consolidated basis</t>
        </r>
      </text>
    </comment>
    <comment ref="BO144" authorId="0" shapeId="0" xr:uid="{00000000-0006-0000-0100-000034000000}">
      <text>
        <r>
          <rPr>
            <b/>
            <sz val="9"/>
            <rFont val="Tahoma"/>
            <family val="2"/>
          </rPr>
          <t>Tegus (OG):</t>
        </r>
        <r>
          <rPr>
            <sz val="9"/>
            <rFont val="Tahoma"/>
            <family val="2"/>
          </rPr>
          <t xml:space="preserve">
interest expense is forecasted on consolidated basis</t>
        </r>
      </text>
    </comment>
    <comment ref="BP144" authorId="0" shapeId="0" xr:uid="{00000000-0006-0000-0100-000035000000}">
      <text>
        <r>
          <rPr>
            <b/>
            <sz val="9"/>
            <rFont val="Tahoma"/>
            <family val="2"/>
          </rPr>
          <t>Tegus (OG):</t>
        </r>
        <r>
          <rPr>
            <sz val="9"/>
            <rFont val="Tahoma"/>
            <family val="2"/>
          </rPr>
          <t xml:space="preserve">
interest expense is forecasted on consolidated basis</t>
        </r>
      </text>
    </comment>
    <comment ref="AV146" authorId="0" shapeId="0" xr:uid="{00000000-0006-0000-0100-000036000000}">
      <text>
        <r>
          <rPr>
            <b/>
            <sz val="9"/>
            <rFont val="Tahoma"/>
            <family val="2"/>
          </rPr>
          <t>Tegus (AHA):</t>
        </r>
        <r>
          <rPr>
            <sz val="9"/>
            <rFont val="Tahoma"/>
            <family val="2"/>
          </rPr>
          <t xml:space="preserve">
Reported as -42</t>
        </r>
      </text>
    </comment>
    <comment ref="AW146" authorId="0" shapeId="0" xr:uid="{00000000-0006-0000-0100-000037000000}">
      <text>
        <r>
          <rPr>
            <b/>
            <sz val="9"/>
            <rFont val="Tahoma"/>
            <family val="2"/>
          </rPr>
          <t>Tegus (AHA):</t>
        </r>
        <r>
          <rPr>
            <sz val="9"/>
            <rFont val="Tahoma"/>
            <family val="2"/>
          </rPr>
          <t xml:space="preserve">
Reported as -75</t>
        </r>
      </text>
    </comment>
    <comment ref="AY146" authorId="0" shapeId="0" xr:uid="{00000000-0006-0000-0100-000038000000}">
      <text>
        <r>
          <rPr>
            <b/>
            <sz val="9"/>
            <rFont val="Tahoma"/>
            <family val="2"/>
          </rPr>
          <t>Tegus (AHA):</t>
        </r>
        <r>
          <rPr>
            <sz val="9"/>
            <rFont val="Tahoma"/>
            <family val="2"/>
          </rPr>
          <t xml:space="preserve">
Reported as -45</t>
        </r>
      </text>
    </comment>
    <comment ref="BB146" authorId="0" shapeId="0" xr:uid="{00000000-0006-0000-0100-000039000000}">
      <text>
        <r>
          <rPr>
            <b/>
            <sz val="9"/>
            <rFont val="Tahoma"/>
            <family val="2"/>
          </rPr>
          <t>Tegus (KuB):</t>
        </r>
        <r>
          <rPr>
            <sz val="9"/>
            <rFont val="Tahoma"/>
            <family val="2"/>
          </rPr>
          <t xml:space="preserve">
Reported as (52).</t>
        </r>
      </text>
    </comment>
    <comment ref="BG146" authorId="1" shapeId="0" xr:uid="{00000000-0006-0000-0100-00003A000000}">
      <text>
        <r>
          <rPr>
            <b/>
            <sz val="9"/>
            <rFont val="Tahoma"/>
            <family val="2"/>
          </rPr>
          <t>Tegus (SBM):</t>
        </r>
        <r>
          <rPr>
            <sz val="9"/>
            <rFont val="Tahoma"/>
            <family val="2"/>
          </rPr>
          <t xml:space="preserve">
Reported as 23.</t>
        </r>
      </text>
    </comment>
    <comment ref="AC185" authorId="0" shapeId="0" xr:uid="{00000000-0006-0000-0100-00003B000000}">
      <text>
        <r>
          <rPr>
            <b/>
            <sz val="9"/>
            <rFont val="Tahoma"/>
            <family val="2"/>
          </rPr>
          <t>Tegus (IP):</t>
        </r>
        <r>
          <rPr>
            <sz val="9"/>
            <rFont val="Tahoma"/>
            <family val="2"/>
          </rPr>
          <t xml:space="preserve">
As reported</t>
        </r>
      </text>
    </comment>
    <comment ref="AE185" authorId="0" shapeId="0" xr:uid="{00000000-0006-0000-0100-00003C000000}">
      <text>
        <r>
          <rPr>
            <b/>
            <sz val="9"/>
            <rFont val="Tahoma"/>
            <family val="2"/>
          </rPr>
          <t>Tegus (SW):</t>
        </r>
        <r>
          <rPr>
            <sz val="9"/>
            <rFont val="Tahoma"/>
            <family val="2"/>
          </rPr>
          <t xml:space="preserve">
as reported</t>
        </r>
      </text>
    </comment>
    <comment ref="AI185" authorId="0" shapeId="0" xr:uid="{00000000-0006-0000-0100-00003D000000}">
      <text>
        <r>
          <rPr>
            <b/>
            <sz val="9"/>
            <rFont val="Tahoma"/>
            <family val="2"/>
          </rPr>
          <t>Tegus (ML):</t>
        </r>
        <r>
          <rPr>
            <sz val="9"/>
            <rFont val="Tahoma"/>
            <family val="2"/>
          </rPr>
          <t xml:space="preserve">
Rounding error</t>
        </r>
      </text>
    </comment>
    <comment ref="AJ185" authorId="0" shapeId="0" xr:uid="{00000000-0006-0000-0100-00003E000000}">
      <text>
        <r>
          <rPr>
            <b/>
            <sz val="9"/>
            <rFont val="Tahoma"/>
            <family val="2"/>
          </rPr>
          <t>Tegus (ML):</t>
        </r>
        <r>
          <rPr>
            <sz val="9"/>
            <rFont val="Tahoma"/>
            <family val="2"/>
          </rPr>
          <t xml:space="preserve">
Rounding error</t>
        </r>
      </text>
    </comment>
    <comment ref="AM185" authorId="0" shapeId="0" xr:uid="{00000000-0006-0000-0100-00003F000000}">
      <text>
        <r>
          <rPr>
            <b/>
            <sz val="9"/>
            <rFont val="Tahoma"/>
            <family val="2"/>
          </rPr>
          <t>Tegus (ArS):</t>
        </r>
        <r>
          <rPr>
            <sz val="9"/>
            <rFont val="Tahoma"/>
            <family val="2"/>
          </rPr>
          <t xml:space="preserve">
Rounding error</t>
        </r>
      </text>
    </comment>
    <comment ref="AO185" authorId="0" shapeId="0" xr:uid="{00000000-0006-0000-0100-000040000000}">
      <text>
        <r>
          <rPr>
            <b/>
            <sz val="9"/>
            <rFont val="Tahoma"/>
            <family val="2"/>
          </rPr>
          <t>Tegus (ArS):</t>
        </r>
        <r>
          <rPr>
            <sz val="9"/>
            <rFont val="Tahoma"/>
            <family val="2"/>
          </rPr>
          <t xml:space="preserve">
Rounding error</t>
        </r>
      </text>
    </comment>
    <comment ref="Z190" authorId="0" shapeId="0" xr:uid="{00000000-0006-0000-0100-000041000000}">
      <text>
        <r>
          <rPr>
            <b/>
            <sz val="9"/>
            <rFont val="Tahoma"/>
            <family val="2"/>
          </rPr>
          <t>Tegus (RL):</t>
        </r>
        <r>
          <rPr>
            <sz val="9"/>
            <rFont val="Tahoma"/>
            <family val="2"/>
          </rPr>
          <t xml:space="preserve">
As reported</t>
        </r>
      </text>
    </comment>
    <comment ref="X196" authorId="0" shapeId="0" xr:uid="{00000000-0006-0000-0100-000042000000}">
      <text>
        <r>
          <rPr>
            <b/>
            <sz val="9"/>
            <rFont val="Tahoma"/>
            <family val="2"/>
          </rPr>
          <t>Tegus (WZ):</t>
        </r>
        <r>
          <rPr>
            <sz val="9"/>
            <rFont val="Tahoma"/>
            <family val="2"/>
          </rPr>
          <t xml:space="preserve">
As reported</t>
        </r>
      </text>
    </comment>
    <comment ref="AB196" authorId="0" shapeId="0" xr:uid="{00000000-0006-0000-0100-000043000000}">
      <text>
        <r>
          <rPr>
            <b/>
            <sz val="9"/>
            <rFont val="Tahoma"/>
            <family val="2"/>
          </rPr>
          <t>Tegus (WZ):</t>
        </r>
        <r>
          <rPr>
            <sz val="9"/>
            <rFont val="Tahoma"/>
            <family val="2"/>
          </rPr>
          <t xml:space="preserve">
As reported</t>
        </r>
      </text>
    </comment>
    <comment ref="AC196" authorId="0" shapeId="0" xr:uid="{00000000-0006-0000-0100-000044000000}">
      <text>
        <r>
          <rPr>
            <b/>
            <sz val="9"/>
            <rFont val="Tahoma"/>
            <family val="2"/>
          </rPr>
          <t>Tegus (WZ):</t>
        </r>
        <r>
          <rPr>
            <sz val="9"/>
            <rFont val="Tahoma"/>
            <family val="2"/>
          </rPr>
          <t xml:space="preserve">
As reported</t>
        </r>
      </text>
    </comment>
    <comment ref="AF196" authorId="0" shapeId="0" xr:uid="{00000000-0006-0000-0100-000045000000}">
      <text>
        <r>
          <rPr>
            <b/>
            <sz val="9"/>
            <rFont val="Tahoma"/>
            <family val="2"/>
          </rPr>
          <t>Tegus (SW):</t>
        </r>
        <r>
          <rPr>
            <sz val="9"/>
            <rFont val="Tahoma"/>
            <family val="2"/>
          </rPr>
          <t xml:space="preserve">
as reported</t>
        </r>
      </text>
    </comment>
    <comment ref="AG196" authorId="0" shapeId="0" xr:uid="{00000000-0006-0000-0100-000046000000}">
      <text>
        <r>
          <rPr>
            <b/>
            <sz val="9"/>
            <rFont val="Tahoma"/>
            <family val="2"/>
          </rPr>
          <t>Tegus (NQ):</t>
        </r>
        <r>
          <rPr>
            <sz val="9"/>
            <rFont val="Tahoma"/>
            <family val="2"/>
          </rPr>
          <t xml:space="preserve">
As reported</t>
        </r>
      </text>
    </comment>
    <comment ref="AH196" authorId="0" shapeId="0" xr:uid="{00000000-0006-0000-0100-000047000000}">
      <text>
        <r>
          <rPr>
            <b/>
            <sz val="9"/>
            <rFont val="Tahoma"/>
            <family val="2"/>
          </rPr>
          <t>Tegus (ML):</t>
        </r>
        <r>
          <rPr>
            <sz val="9"/>
            <rFont val="Tahoma"/>
            <family val="2"/>
          </rPr>
          <t xml:space="preserve">
Reported as 846.</t>
        </r>
      </text>
    </comment>
    <comment ref="AK196" authorId="0" shapeId="0" xr:uid="{00000000-0006-0000-0100-000048000000}">
      <text>
        <r>
          <rPr>
            <b/>
            <sz val="9"/>
            <rFont val="Tahoma"/>
            <family val="2"/>
          </rPr>
          <t>Tegus (ML):</t>
        </r>
        <r>
          <rPr>
            <sz val="9"/>
            <rFont val="Tahoma"/>
            <family val="2"/>
          </rPr>
          <t xml:space="preserve">
Hardcoded as reported</t>
        </r>
      </text>
    </comment>
    <comment ref="AL196" authorId="0" shapeId="0" xr:uid="{00000000-0006-0000-0100-000049000000}">
      <text>
        <r>
          <rPr>
            <b/>
            <sz val="9"/>
            <rFont val="Tahoma"/>
            <family val="2"/>
          </rPr>
          <t>Tegus (OG):</t>
        </r>
        <r>
          <rPr>
            <sz val="9"/>
            <rFont val="Tahoma"/>
            <family val="2"/>
          </rPr>
          <t xml:space="preserve">
hardcoded as reported</t>
        </r>
      </text>
    </comment>
    <comment ref="AP196" authorId="0" shapeId="0" xr:uid="{00000000-0006-0000-0100-00004A000000}">
      <text>
        <r>
          <rPr>
            <b/>
            <sz val="9"/>
            <rFont val="Tahoma"/>
            <family val="2"/>
          </rPr>
          <t>Tegus (ArS):</t>
        </r>
        <r>
          <rPr>
            <sz val="9"/>
            <rFont val="Tahoma"/>
            <family val="2"/>
          </rPr>
          <t xml:space="preserve">
Hardcoded as reported</t>
        </r>
      </text>
    </comment>
    <comment ref="AQ196" authorId="0" shapeId="0" xr:uid="{00000000-0006-0000-0100-00004B000000}">
      <text>
        <r>
          <rPr>
            <b/>
            <sz val="9"/>
            <rFont val="Tahoma"/>
            <family val="2"/>
          </rPr>
          <t>Tegus (HN):</t>
        </r>
        <r>
          <rPr>
            <sz val="9"/>
            <rFont val="Tahoma"/>
            <family val="2"/>
          </rPr>
          <t xml:space="preserve">
Hardcoded as reported</t>
        </r>
      </text>
    </comment>
    <comment ref="AT196" authorId="0" shapeId="0" xr:uid="{00000000-0006-0000-0100-00004C000000}">
      <text>
        <r>
          <rPr>
            <b/>
            <sz val="9"/>
            <rFont val="Tahoma"/>
            <family val="2"/>
          </rPr>
          <t>Tegus (SL):</t>
        </r>
        <r>
          <rPr>
            <sz val="9"/>
            <rFont val="Tahoma"/>
            <family val="2"/>
          </rPr>
          <t xml:space="preserve">
hardcoded as reported</t>
        </r>
      </text>
    </comment>
    <comment ref="AW196" authorId="0" shapeId="0" xr:uid="{00000000-0006-0000-0100-00004D000000}">
      <text>
        <r>
          <rPr>
            <b/>
            <sz val="9"/>
            <rFont val="Tahoma"/>
            <family val="2"/>
          </rPr>
          <t>Tegus (AHA):</t>
        </r>
        <r>
          <rPr>
            <sz val="9"/>
            <rFont val="Tahoma"/>
            <family val="2"/>
          </rPr>
          <t xml:space="preserve">
Reported as 945</t>
        </r>
      </text>
    </comment>
    <comment ref="AZ196" authorId="0" shapeId="0" xr:uid="{00000000-0006-0000-0100-00004E000000}">
      <text>
        <r>
          <rPr>
            <b/>
            <sz val="9"/>
            <rFont val="Tahoma"/>
            <family val="2"/>
          </rPr>
          <t>Tegus (AHA):</t>
        </r>
        <r>
          <rPr>
            <sz val="9"/>
            <rFont val="Tahoma"/>
            <family val="2"/>
          </rPr>
          <t xml:space="preserve">
Reported as 3,614</t>
        </r>
      </text>
    </comment>
    <comment ref="BB196" authorId="0" shapeId="0" xr:uid="{00000000-0006-0000-0100-00004F000000}">
      <text>
        <r>
          <rPr>
            <b/>
            <sz val="9"/>
            <rFont val="Tahoma"/>
            <family val="2"/>
          </rPr>
          <t>Tegus (ArS):</t>
        </r>
        <r>
          <rPr>
            <sz val="9"/>
            <rFont val="Tahoma"/>
            <family val="2"/>
          </rPr>
          <t xml:space="preserve">
Reported as 954</t>
        </r>
      </text>
    </comment>
    <comment ref="BE196" authorId="0" shapeId="0" xr:uid="{00000000-0006-0000-0100-000050000000}">
      <text>
        <r>
          <rPr>
            <b/>
            <sz val="9"/>
            <rFont val="Tahoma"/>
            <family val="2"/>
          </rPr>
          <t>Tegus (FV):</t>
        </r>
        <r>
          <rPr>
            <sz val="9"/>
            <rFont val="Tahoma"/>
            <family val="2"/>
          </rPr>
          <t xml:space="preserve">
Reported as $3,733</t>
        </r>
      </text>
    </comment>
    <comment ref="AV197" authorId="0" shapeId="0" xr:uid="{00000000-0006-0000-0100-000051000000}">
      <text>
        <r>
          <rPr>
            <b/>
            <sz val="9"/>
            <rFont val="Tahoma"/>
            <family val="2"/>
          </rPr>
          <t>Tegus (AHA):</t>
        </r>
        <r>
          <rPr>
            <sz val="9"/>
            <rFont val="Tahoma"/>
            <family val="2"/>
          </rPr>
          <t xml:space="preserve">
Prior period foreign currency impact reflected as “N/A” to isolate change for current period only</t>
        </r>
      </text>
    </comment>
    <comment ref="AW197" authorId="0" shapeId="0" xr:uid="{00000000-0006-0000-0100-000052000000}">
      <text>
        <r>
          <rPr>
            <b/>
            <sz val="9"/>
            <rFont val="Tahoma"/>
            <family val="2"/>
          </rPr>
          <t>Tegus (AHA):</t>
        </r>
        <r>
          <rPr>
            <sz val="9"/>
            <rFont val="Tahoma"/>
            <family val="2"/>
          </rPr>
          <t xml:space="preserve">
Prior period foreign currency impact reflected as “N/A” to isolate change for current period only</t>
        </r>
      </text>
    </comment>
    <comment ref="AX197" authorId="0" shapeId="0" xr:uid="{00000000-0006-0000-0100-000053000000}">
      <text>
        <r>
          <rPr>
            <b/>
            <sz val="9"/>
            <rFont val="Tahoma"/>
            <family val="2"/>
          </rPr>
          <t>Tegus (AHA):</t>
        </r>
        <r>
          <rPr>
            <sz val="9"/>
            <rFont val="Tahoma"/>
            <family val="2"/>
          </rPr>
          <t xml:space="preserve">
Prior period foreign currency impact reflected as “N/A” to isolate change for current period only</t>
        </r>
      </text>
    </comment>
    <comment ref="AY197" authorId="0" shapeId="0" xr:uid="{00000000-0006-0000-0100-000054000000}">
      <text>
        <r>
          <rPr>
            <b/>
            <sz val="9"/>
            <rFont val="Tahoma"/>
            <family val="2"/>
          </rPr>
          <t>Tegus (AHA):</t>
        </r>
        <r>
          <rPr>
            <sz val="9"/>
            <rFont val="Tahoma"/>
            <family val="2"/>
          </rPr>
          <t xml:space="preserve">
Prior period foreign currency impact reflected as “N/A” to isolate change for current period only</t>
        </r>
      </text>
    </comment>
    <comment ref="AZ197" authorId="0" shapeId="0" xr:uid="{00000000-0006-0000-0100-000055000000}">
      <text>
        <r>
          <rPr>
            <b/>
            <sz val="9"/>
            <rFont val="Tahoma"/>
            <family val="2"/>
          </rPr>
          <t>Tegus (AHA):</t>
        </r>
        <r>
          <rPr>
            <sz val="9"/>
            <rFont val="Tahoma"/>
            <family val="2"/>
          </rPr>
          <t xml:space="preserve">
Prior period foreign currency impact reflected as “N/A” to isolate change for current period only</t>
        </r>
      </text>
    </comment>
    <comment ref="X198" authorId="0" shapeId="0" xr:uid="{00000000-0006-0000-0100-000056000000}">
      <text>
        <r>
          <rPr>
            <b/>
            <sz val="9"/>
            <rFont val="Tahoma"/>
            <family val="2"/>
          </rPr>
          <t>Tegus (WZ):</t>
        </r>
        <r>
          <rPr>
            <sz val="9"/>
            <rFont val="Tahoma"/>
            <family val="2"/>
          </rPr>
          <t xml:space="preserve">
As reported</t>
        </r>
      </text>
    </comment>
    <comment ref="AC198" authorId="0" shapeId="0" xr:uid="{00000000-0006-0000-0100-000057000000}">
      <text>
        <r>
          <rPr>
            <b/>
            <sz val="9"/>
            <rFont val="Tahoma"/>
            <family val="2"/>
          </rPr>
          <t>Tegus (WZ):</t>
        </r>
        <r>
          <rPr>
            <sz val="9"/>
            <rFont val="Tahoma"/>
            <family val="2"/>
          </rPr>
          <t xml:space="preserve">
As reported</t>
        </r>
      </text>
    </comment>
    <comment ref="AH198" authorId="0" shapeId="0" xr:uid="{00000000-0006-0000-0100-000058000000}">
      <text>
        <r>
          <rPr>
            <b/>
            <sz val="9"/>
            <rFont val="Tahoma"/>
            <family val="2"/>
          </rPr>
          <t>Tegus (ML):</t>
        </r>
        <r>
          <rPr>
            <sz val="9"/>
            <rFont val="Tahoma"/>
            <family val="2"/>
          </rPr>
          <t xml:space="preserve">
Reported as 851.</t>
        </r>
      </text>
    </comment>
    <comment ref="AJ198" authorId="0" shapeId="0" xr:uid="{00000000-0006-0000-0100-000059000000}">
      <text>
        <r>
          <rPr>
            <b/>
            <sz val="9"/>
            <rFont val="Tahoma"/>
            <family val="2"/>
          </rPr>
          <t>Tegus (ML):</t>
        </r>
        <r>
          <rPr>
            <sz val="9"/>
            <rFont val="Tahoma"/>
            <family val="2"/>
          </rPr>
          <t xml:space="preserve">
Reported as 744</t>
        </r>
      </text>
    </comment>
    <comment ref="AU198" authorId="0" shapeId="0" xr:uid="{00000000-0006-0000-0100-00005A000000}">
      <text>
        <r>
          <rPr>
            <b/>
            <sz val="9"/>
            <rFont val="Tahoma"/>
            <family val="2"/>
          </rPr>
          <t>Tegus (SL):</t>
        </r>
        <r>
          <rPr>
            <sz val="9"/>
            <rFont val="Tahoma"/>
            <family val="2"/>
          </rPr>
          <t xml:space="preserve">
hardcoded as reported</t>
        </r>
      </text>
    </comment>
    <comment ref="AW198" authorId="0" shapeId="0" xr:uid="{00000000-0006-0000-0100-00005B000000}">
      <text>
        <r>
          <rPr>
            <b/>
            <sz val="9"/>
            <rFont val="Tahoma"/>
            <family val="2"/>
          </rPr>
          <t>Tegus (AHA):</t>
        </r>
        <r>
          <rPr>
            <sz val="9"/>
            <rFont val="Tahoma"/>
            <family val="2"/>
          </rPr>
          <t xml:space="preserve">
Reported as 945</t>
        </r>
      </text>
    </comment>
    <comment ref="AZ198" authorId="0" shapeId="0" xr:uid="{00000000-0006-0000-0100-00005C000000}">
      <text>
        <r>
          <rPr>
            <b/>
            <sz val="9"/>
            <rFont val="Tahoma"/>
            <family val="2"/>
          </rPr>
          <t>Tegus (AHA):</t>
        </r>
        <r>
          <rPr>
            <sz val="9"/>
            <rFont val="Tahoma"/>
            <family val="2"/>
          </rPr>
          <t xml:space="preserve">
Reported as 3,614</t>
        </r>
      </text>
    </comment>
    <comment ref="BB198" authorId="0" shapeId="0" xr:uid="{00000000-0006-0000-0100-00005D000000}">
      <text>
        <r>
          <rPr>
            <b/>
            <sz val="9"/>
            <rFont val="Tahoma"/>
            <family val="2"/>
          </rPr>
          <t>Tegus (KuB):</t>
        </r>
        <r>
          <rPr>
            <sz val="9"/>
            <rFont val="Tahoma"/>
            <family val="2"/>
          </rPr>
          <t xml:space="preserve">
Reported as 979.</t>
        </r>
      </text>
    </comment>
    <comment ref="BE198" authorId="0" shapeId="0" xr:uid="{00000000-0006-0000-0100-00005E000000}">
      <text>
        <r>
          <rPr>
            <b/>
            <sz val="9"/>
            <rFont val="Tahoma"/>
            <family val="2"/>
          </rPr>
          <t>Tegus (FV):</t>
        </r>
        <r>
          <rPr>
            <sz val="9"/>
            <rFont val="Tahoma"/>
            <family val="2"/>
          </rPr>
          <t xml:space="preserve">
Hardcoded as reported.</t>
        </r>
      </text>
    </comment>
    <comment ref="BH198" authorId="2" shapeId="0" xr:uid="{5EE9E942-C7BE-442D-8B21-38B67893E299}">
      <text>
        <r>
          <rPr>
            <b/>
            <sz val="9"/>
            <rFont val="Tahoma"/>
            <family val="2"/>
            <charset val="1"/>
          </rPr>
          <t>Tegus (KuB):</t>
        </r>
        <r>
          <rPr>
            <sz val="9"/>
            <rFont val="Tahoma"/>
            <family val="2"/>
            <charset val="1"/>
          </rPr>
          <t xml:space="preserve">
Reported as 1,228.</t>
        </r>
      </text>
    </comment>
    <comment ref="Y232" authorId="0" shapeId="0" xr:uid="{00000000-0006-0000-0100-00005F000000}">
      <text>
        <r>
          <rPr>
            <b/>
            <sz val="9"/>
            <rFont val="Tahoma"/>
            <family val="2"/>
          </rPr>
          <t>Tegus (RL):</t>
        </r>
        <r>
          <rPr>
            <sz val="9"/>
            <rFont val="Tahoma"/>
            <family val="2"/>
          </rPr>
          <t xml:space="preserve">
Reported as $1.81 (prior to 2 for 1 split)</t>
        </r>
      </text>
    </comment>
    <comment ref="Z232" authorId="0" shapeId="0" xr:uid="{00000000-0006-0000-0100-000060000000}">
      <text>
        <r>
          <rPr>
            <b/>
            <sz val="9"/>
            <rFont val="Tahoma"/>
            <family val="2"/>
          </rPr>
          <t>Tegus (RL):</t>
        </r>
        <r>
          <rPr>
            <sz val="9"/>
            <rFont val="Tahoma"/>
            <family val="2"/>
          </rPr>
          <t xml:space="preserve">
Reported as $5.99, company report used share number before stock split</t>
        </r>
      </text>
    </comment>
    <comment ref="AA232" authorId="0" shapeId="0" xr:uid="{00000000-0006-0000-0100-000061000000}">
      <text>
        <r>
          <rPr>
            <b/>
            <sz val="9"/>
            <rFont val="Tahoma"/>
            <family val="2"/>
          </rPr>
          <t>Tegus (RL):</t>
        </r>
        <r>
          <rPr>
            <sz val="9"/>
            <rFont val="Tahoma"/>
            <family val="2"/>
          </rPr>
          <t xml:space="preserve">
Company reported as $11.04</t>
        </r>
      </text>
    </comment>
    <comment ref="Z233" authorId="0" shapeId="0" xr:uid="{00000000-0006-0000-0100-000062000000}">
      <text>
        <r>
          <rPr>
            <b/>
            <sz val="9"/>
            <rFont val="Tahoma"/>
            <family val="2"/>
          </rPr>
          <t>Tegus (RL):</t>
        </r>
        <r>
          <rPr>
            <sz val="9"/>
            <rFont val="Tahoma"/>
            <family val="2"/>
          </rPr>
          <t xml:space="preserve">
Reported as $5.95, company report used share number before stock split</t>
        </r>
      </text>
    </comment>
    <comment ref="AA233" authorId="0" shapeId="0" xr:uid="{00000000-0006-0000-0100-000063000000}">
      <text>
        <r>
          <rPr>
            <b/>
            <sz val="9"/>
            <rFont val="Tahoma"/>
            <family val="2"/>
          </rPr>
          <t>Tegus (RL):</t>
        </r>
        <r>
          <rPr>
            <sz val="9"/>
            <rFont val="Tahoma"/>
            <family val="2"/>
          </rPr>
          <t xml:space="preserve">
Company reported as $10.96</t>
        </r>
      </text>
    </comment>
    <comment ref="E234" authorId="0" shapeId="0" xr:uid="{00000000-0006-0000-0100-000064000000}">
      <text>
        <r>
          <rPr>
            <b/>
            <sz val="9"/>
            <rFont val="Tahoma"/>
            <family val="2"/>
          </rPr>
          <t>Tegus (RL):</t>
        </r>
        <r>
          <rPr>
            <sz val="9"/>
            <rFont val="Tahoma"/>
            <family val="2"/>
          </rPr>
          <t xml:space="preserve">
Reported as $6.27 (prior to split)</t>
        </r>
      </text>
    </comment>
    <comment ref="Z234" authorId="0" shapeId="0" xr:uid="{00000000-0006-0000-0100-000065000000}">
      <text>
        <r>
          <rPr>
            <b/>
            <sz val="9"/>
            <rFont val="Tahoma"/>
            <family val="2"/>
          </rPr>
          <t>Tegus (RL):</t>
        </r>
        <r>
          <rPr>
            <sz val="9"/>
            <rFont val="Tahoma"/>
            <family val="2"/>
          </rPr>
          <t xml:space="preserve">
Reported as $1.63, company report used share number before stock split</t>
        </r>
      </text>
    </comment>
    <comment ref="AL234" authorId="0" shapeId="0" xr:uid="{00000000-0006-0000-0100-000066000000}">
      <text>
        <r>
          <rPr>
            <b/>
            <sz val="9"/>
            <rFont val="Tahoma"/>
            <family val="2"/>
          </rPr>
          <t>Tegus (OG):</t>
        </r>
        <r>
          <rPr>
            <sz val="9"/>
            <rFont val="Tahoma"/>
            <family val="2"/>
          </rPr>
          <t xml:space="preserve">
reported as $1.21</t>
        </r>
      </text>
    </comment>
    <comment ref="A237" authorId="0" shapeId="0" xr:uid="{00000000-0006-0000-0100-000067000000}">
      <text>
        <r>
          <rPr>
            <b/>
            <sz val="9"/>
            <rFont val="Tahoma"/>
            <family val="2"/>
          </rPr>
          <t>Tegus (WZ):</t>
        </r>
        <r>
          <rPr>
            <sz val="9"/>
            <rFont val="Tahoma"/>
            <family val="2"/>
          </rPr>
          <t xml:space="preserve">
Adjusted for 2 for 1 stock split effective March 16, 2018</t>
        </r>
      </text>
    </comment>
    <comment ref="AB237" authorId="0" shapeId="0" xr:uid="{00000000-0006-0000-0100-000068000000}">
      <text>
        <r>
          <rPr>
            <b/>
            <sz val="9"/>
            <rFont val="Tahoma"/>
            <family val="2"/>
          </rPr>
          <t>Tegus (IP):</t>
        </r>
        <r>
          <rPr>
            <sz val="9"/>
            <rFont val="Tahoma"/>
            <family val="2"/>
          </rPr>
          <t xml:space="preserve">
two-for-one stock split declared on Feb 13, 2018; stock split effective on Mar 16, 2018</t>
        </r>
      </text>
    </comment>
    <comment ref="A238" authorId="0" shapeId="0" xr:uid="{00000000-0006-0000-0100-000069000000}">
      <text>
        <r>
          <rPr>
            <b/>
            <sz val="9"/>
            <rFont val="Tahoma"/>
            <family val="2"/>
          </rPr>
          <t>Tegus (WZ):</t>
        </r>
        <r>
          <rPr>
            <sz val="9"/>
            <rFont val="Tahoma"/>
            <family val="2"/>
          </rPr>
          <t xml:space="preserve">
Adjusted for 2 for 1 stock split effective March 16, 2018</t>
        </r>
      </text>
    </comment>
    <comment ref="A239" authorId="0" shapeId="0" xr:uid="{00000000-0006-0000-0100-00006A000000}">
      <text>
        <r>
          <rPr>
            <b/>
            <sz val="9"/>
            <rFont val="Tahoma"/>
            <family val="2"/>
          </rPr>
          <t>Tegus (WZ):</t>
        </r>
        <r>
          <rPr>
            <sz val="9"/>
            <rFont val="Tahoma"/>
            <family val="2"/>
          </rPr>
          <t xml:space="preserve">
Adjusted for 2 for 1 stock split effective March 16, 2018</t>
        </r>
      </text>
    </comment>
    <comment ref="A242" authorId="0" shapeId="0" xr:uid="{00000000-0006-0000-0100-00006B000000}">
      <text>
        <r>
          <rPr>
            <b/>
            <sz val="9"/>
            <rFont val="Tahoma"/>
            <family val="2"/>
          </rPr>
          <t>Tegus (WZ):</t>
        </r>
        <r>
          <rPr>
            <sz val="9"/>
            <rFont val="Tahoma"/>
            <family val="2"/>
          </rPr>
          <t xml:space="preserve">
Adjusted for 2 for 1 stock split effective March 16, 2018</t>
        </r>
      </text>
    </comment>
    <comment ref="A250" authorId="0" shapeId="0" xr:uid="{00000000-0006-0000-0100-00006C000000}">
      <text>
        <r>
          <rPr>
            <b/>
            <sz val="9"/>
            <rFont val="Tahoma"/>
            <family val="2"/>
          </rPr>
          <t>Tegus (KE):</t>
        </r>
        <r>
          <rPr>
            <sz val="9"/>
            <rFont val="Tahoma"/>
            <family val="2"/>
          </rPr>
          <t xml:space="preserve">
All shares have been retroactively restated for all previous periods to reflect the two-for-one stock split on March 16, 2018</t>
        </r>
      </text>
    </comment>
    <comment ref="A253" authorId="0" shapeId="0" xr:uid="{00000000-0006-0000-0100-00006D000000}">
      <text>
        <r>
          <rPr>
            <b/>
            <sz val="9"/>
            <rFont val="Tahoma"/>
            <family val="2"/>
          </rPr>
          <t>Tegus:</t>
        </r>
        <r>
          <rPr>
            <sz val="9"/>
            <rFont val="Tahoma"/>
            <family val="2"/>
          </rPr>
          <t xml:space="preserve">
In periods where EPS is negative, this amount is calculated using the closest prior period where EPS was positive.</t>
        </r>
      </text>
    </comment>
    <comment ref="A260" authorId="0" shapeId="0" xr:uid="{00000000-0006-0000-0100-00006E000000}">
      <text>
        <r>
          <rPr>
            <b/>
            <sz val="9"/>
            <rFont val="Tahoma"/>
            <family val="2"/>
          </rPr>
          <t>Tegus (WZ):</t>
        </r>
        <r>
          <rPr>
            <sz val="9"/>
            <rFont val="Tahoma"/>
            <family val="2"/>
          </rPr>
          <t xml:space="preserve">
Adjusted for 2 for 1 stock split effective March 16, 2018</t>
        </r>
      </text>
    </comment>
    <comment ref="AR318" authorId="0" shapeId="0" xr:uid="{00000000-0006-0000-0100-00006F000000}">
      <text>
        <r>
          <rPr>
            <b/>
            <sz val="9"/>
            <rFont val="Tahoma"/>
            <family val="2"/>
          </rPr>
          <t>Tegus (ML):</t>
        </r>
        <r>
          <rPr>
            <sz val="9"/>
            <rFont val="Tahoma"/>
            <family val="2"/>
          </rPr>
          <t xml:space="preserve">
Capitalization of deferred policy acquisition costs &amp; Amortization of deferred policy acquisition costs</t>
        </r>
      </text>
    </comment>
    <comment ref="AR331" authorId="0" shapeId="0" xr:uid="{00000000-0006-0000-0100-000070000000}">
      <text>
        <r>
          <rPr>
            <b/>
            <sz val="9"/>
            <rFont val="Tahoma"/>
            <family val="2"/>
          </rPr>
          <t>Tegus (ML):</t>
        </r>
        <r>
          <rPr>
            <sz val="9"/>
            <rFont val="Tahoma"/>
            <family val="2"/>
          </rPr>
          <t xml:space="preserve">
Proceeds from investments sold or matured: Commercial mortgage and other loans &amp; Costs of investments acquired: Commercial mortgage and other loans</t>
        </r>
      </text>
    </comment>
    <comment ref="AV416" authorId="0" shapeId="0" xr:uid="{00000000-0006-0000-0100-000071000000}">
      <text>
        <r>
          <rPr>
            <b/>
            <sz val="9"/>
            <rFont val="Tahoma"/>
            <family val="2"/>
          </rPr>
          <t>Tegus (AHA):</t>
        </r>
        <r>
          <rPr>
            <sz val="9"/>
            <rFont val="Tahoma"/>
            <family val="2"/>
          </rPr>
          <t xml:space="preserve">
On January 1, 2023, the Company adopted LDTI employing a modified retrospective transition method. This period was not restated to due unavailability of data</t>
        </r>
      </text>
    </comment>
    <comment ref="AW416" authorId="0" shapeId="0" xr:uid="{00000000-0006-0000-0100-000072000000}">
      <text>
        <r>
          <rPr>
            <b/>
            <sz val="9"/>
            <rFont val="Tahoma"/>
            <family val="2"/>
          </rPr>
          <t>Tegus (AHA):</t>
        </r>
        <r>
          <rPr>
            <sz val="9"/>
            <rFont val="Tahoma"/>
            <family val="2"/>
          </rPr>
          <t xml:space="preserve">
On January 1, 2023, the Company adopted LDTI employing a modified retrospective transition method. This period was not restated to due unavailability of data</t>
        </r>
      </text>
    </comment>
    <comment ref="AX416" authorId="0" shapeId="0" xr:uid="{00000000-0006-0000-0100-000073000000}">
      <text>
        <r>
          <rPr>
            <b/>
            <sz val="9"/>
            <rFont val="Tahoma"/>
            <family val="2"/>
          </rPr>
          <t>Tegus (AHA):</t>
        </r>
        <r>
          <rPr>
            <sz val="9"/>
            <rFont val="Tahoma"/>
            <family val="2"/>
          </rPr>
          <t xml:space="preserve">
On January 1, 2023, the Company adopted LDTI employing a modified retrospective transition method. This period was not restated to due unavailability of data</t>
        </r>
      </text>
    </comment>
    <comment ref="AY416" authorId="0" shapeId="0" xr:uid="{00000000-0006-0000-0100-000074000000}">
      <text>
        <r>
          <rPr>
            <b/>
            <sz val="9"/>
            <rFont val="Tahoma"/>
            <family val="2"/>
          </rPr>
          <t>Tegus (AHA):</t>
        </r>
        <r>
          <rPr>
            <sz val="9"/>
            <rFont val="Tahoma"/>
            <family val="2"/>
          </rPr>
          <t xml:space="preserve">
On January 1, 2023, the Company adopted LDTI employing a modified retrospective transition method. This period was not restated to due unavailability of data</t>
        </r>
      </text>
    </comment>
    <comment ref="AZ416" authorId="0" shapeId="0" xr:uid="{00000000-0006-0000-0100-000075000000}">
      <text>
        <r>
          <rPr>
            <b/>
            <sz val="9"/>
            <rFont val="Tahoma"/>
            <family val="2"/>
          </rPr>
          <t>Tegus (AHA):</t>
        </r>
        <r>
          <rPr>
            <sz val="9"/>
            <rFont val="Tahoma"/>
            <family val="2"/>
          </rPr>
          <t xml:space="preserve">
On January 1, 2023, the Company adopted LDTI employing a modified retrospective transition method. This period was not restated to due unavailability of data</t>
        </r>
      </text>
    </comment>
    <comment ref="BH449" authorId="1" shapeId="0" xr:uid="{44F160DB-83CE-40DF-A1D3-030E6ECB3101}">
      <text>
        <r>
          <rPr>
            <b/>
            <sz val="9"/>
            <rFont val="Tahoma"/>
            <family val="2"/>
            <charset val="1"/>
          </rPr>
          <t>Tegus (SBM):</t>
        </r>
        <r>
          <rPr>
            <sz val="9"/>
            <rFont val="Tahoma"/>
            <family val="2"/>
            <charset val="1"/>
          </rPr>
          <t xml:space="preserve">
Effect of changes in discount rate assumptions.</t>
        </r>
      </text>
    </comment>
    <comment ref="AC461" authorId="0" shapeId="0" xr:uid="{00000000-0006-0000-0100-000076000000}">
      <text>
        <r>
          <rPr>
            <b/>
            <sz val="9"/>
            <rFont val="Tahoma"/>
            <family val="2"/>
          </rPr>
          <t>Tegus (ML):</t>
        </r>
        <r>
          <rPr>
            <sz val="9"/>
            <rFont val="Tahoma"/>
            <family val="2"/>
          </rPr>
          <t xml:space="preserve">
Rounding error.</t>
        </r>
      </text>
    </comment>
    <comment ref="AE461" authorId="0" shapeId="0" xr:uid="{00000000-0006-0000-0100-000077000000}">
      <text>
        <r>
          <rPr>
            <b/>
            <sz val="9"/>
            <rFont val="Tahoma"/>
            <family val="2"/>
          </rPr>
          <t>Tegus (ML):</t>
        </r>
        <r>
          <rPr>
            <sz val="9"/>
            <rFont val="Tahoma"/>
            <family val="2"/>
          </rPr>
          <t xml:space="preserve">
Rounding error.</t>
        </r>
      </text>
    </comment>
    <comment ref="AI461" authorId="0" shapeId="0" xr:uid="{00000000-0006-0000-0100-000078000000}">
      <text>
        <r>
          <rPr>
            <b/>
            <sz val="9"/>
            <rFont val="Tahoma"/>
            <family val="2"/>
          </rPr>
          <t>Tegus (ML):</t>
        </r>
        <r>
          <rPr>
            <sz val="9"/>
            <rFont val="Tahoma"/>
            <family val="2"/>
          </rPr>
          <t xml:space="preserve">
Rounding error.</t>
        </r>
      </text>
    </comment>
    <comment ref="AJ461" authorId="0" shapeId="0" xr:uid="{00000000-0006-0000-0100-000079000000}">
      <text>
        <r>
          <rPr>
            <b/>
            <sz val="9"/>
            <rFont val="Tahoma"/>
            <family val="2"/>
          </rPr>
          <t>Tegus (ML):</t>
        </r>
        <r>
          <rPr>
            <sz val="9"/>
            <rFont val="Tahoma"/>
            <family val="2"/>
          </rPr>
          <t xml:space="preserve">
Rounding error</t>
        </r>
      </text>
    </comment>
    <comment ref="AM461" authorId="0" shapeId="0" xr:uid="{00000000-0006-0000-0100-00007A000000}">
      <text>
        <r>
          <rPr>
            <b/>
            <sz val="9"/>
            <rFont val="Tahoma"/>
            <family val="2"/>
          </rPr>
          <t>Tegus (ArS):</t>
        </r>
        <r>
          <rPr>
            <sz val="9"/>
            <rFont val="Tahoma"/>
            <family val="2"/>
          </rPr>
          <t xml:space="preserve">
Rounding error</t>
        </r>
      </text>
    </comment>
    <comment ref="AO461" authorId="0" shapeId="0" xr:uid="{00000000-0006-0000-0100-00007B000000}">
      <text>
        <r>
          <rPr>
            <b/>
            <sz val="9"/>
            <rFont val="Tahoma"/>
            <family val="2"/>
          </rPr>
          <t>Tegus (ArS):</t>
        </r>
        <r>
          <rPr>
            <sz val="9"/>
            <rFont val="Tahoma"/>
            <family val="2"/>
          </rPr>
          <t xml:space="preserve">
Rounding error</t>
        </r>
      </text>
    </comment>
    <comment ref="AF472" authorId="0" shapeId="0" xr:uid="{00000000-0006-0000-0100-00007C000000}">
      <text>
        <r>
          <rPr>
            <b/>
            <sz val="9"/>
            <rFont val="Tahoma"/>
            <family val="2"/>
          </rPr>
          <t>Tegus (SW):</t>
        </r>
        <r>
          <rPr>
            <sz val="9"/>
            <rFont val="Tahoma"/>
            <family val="2"/>
          </rPr>
          <t xml:space="preserve">
as reported</t>
        </r>
      </text>
    </comment>
    <comment ref="AU472" authorId="0" shapeId="0" xr:uid="{00000000-0006-0000-0100-00007D000000}">
      <text>
        <r>
          <rPr>
            <b/>
            <sz val="9"/>
            <rFont val="Tahoma"/>
            <family val="2"/>
          </rPr>
          <t>Tegus (SL):</t>
        </r>
        <r>
          <rPr>
            <sz val="9"/>
            <rFont val="Tahoma"/>
            <family val="2"/>
          </rPr>
          <t xml:space="preserve">
rounding error</t>
        </r>
      </text>
    </comment>
    <comment ref="AZ472" authorId="0" shapeId="0" xr:uid="{00000000-0006-0000-0100-00007E000000}">
      <text>
        <r>
          <rPr>
            <b/>
            <sz val="9"/>
            <rFont val="Tahoma"/>
            <family val="2"/>
          </rPr>
          <t>Tegus (AHA):</t>
        </r>
        <r>
          <rPr>
            <sz val="9"/>
            <rFont val="Tahoma"/>
            <family val="2"/>
          </rPr>
          <t xml:space="preserve">
Rounding error</t>
        </r>
      </text>
    </comment>
    <comment ref="BE472" authorId="0" shapeId="0" xr:uid="{00000000-0006-0000-0100-00007F000000}">
      <text>
        <r>
          <rPr>
            <b/>
            <sz val="9"/>
            <rFont val="Tahoma"/>
            <family val="2"/>
          </rPr>
          <t>Tegus (FV):</t>
        </r>
        <r>
          <rPr>
            <sz val="9"/>
            <rFont val="Tahoma"/>
            <family val="2"/>
          </rPr>
          <t xml:space="preserve">
Rounding error.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Canalyst (ATK)</author>
  </authors>
  <commentList>
    <comment ref="N13" authorId="0" shapeId="0" xr:uid="{00000000-0006-0000-0200-000001000000}">
      <text>
        <r>
          <rPr>
            <b/>
            <sz val="9"/>
            <rFont val="Tahoma"/>
            <family val="2"/>
          </rPr>
          <t>Tegus (AHA):</t>
        </r>
        <r>
          <rPr>
            <sz val="9"/>
            <rFont val="Tahoma"/>
            <family val="2"/>
          </rPr>
          <t xml:space="preserve">
This metric is not included in the model</t>
        </r>
      </text>
    </comment>
    <comment ref="N14" authorId="0" shapeId="0" xr:uid="{00000000-0006-0000-0200-000002000000}">
      <text>
        <r>
          <rPr>
            <b/>
            <sz val="9"/>
            <rFont val="Tahoma"/>
            <family val="2"/>
          </rPr>
          <t>Tegus (AHA):</t>
        </r>
        <r>
          <rPr>
            <sz val="9"/>
            <rFont val="Tahoma"/>
            <family val="2"/>
          </rPr>
          <t xml:space="preserve">
This metric is not included in the model</t>
        </r>
      </text>
    </comment>
    <comment ref="I27" authorId="0" shapeId="0" xr:uid="{00000000-0006-0000-0200-000003000000}">
      <text>
        <r>
          <rPr>
            <b/>
            <sz val="9"/>
            <rFont val="Tahoma"/>
            <family val="2"/>
          </rPr>
          <t>Tegus (ML):</t>
        </r>
        <r>
          <rPr>
            <sz val="9"/>
            <rFont val="Tahoma"/>
            <family val="2"/>
          </rPr>
          <t xml:space="preserve">
The company expects a decline in the range of 0.7% in third sector and first sector protection earned premium for the year. </t>
        </r>
      </text>
    </comment>
    <comment ref="N27" authorId="0" shapeId="0" xr:uid="{00000000-0006-0000-0200-000004000000}">
      <text>
        <r>
          <rPr>
            <b/>
            <sz val="9"/>
            <rFont val="Tahoma"/>
            <family val="2"/>
          </rPr>
          <t>Tegus (WZ):</t>
        </r>
        <r>
          <rPr>
            <sz val="9"/>
            <rFont val="Tahoma"/>
            <family val="2"/>
          </rPr>
          <t xml:space="preserve">
Not modelled</t>
        </r>
      </text>
    </comment>
    <comment ref="N32" authorId="0" shapeId="0" xr:uid="{00000000-0006-0000-0200-000005000000}">
      <text>
        <r>
          <rPr>
            <b/>
            <sz val="9"/>
            <rFont val="Tahoma"/>
            <family val="2"/>
          </rPr>
          <t>Tegus (WZ):</t>
        </r>
        <r>
          <rPr>
            <sz val="9"/>
            <rFont val="Tahoma"/>
            <family val="2"/>
          </rPr>
          <t xml:space="preserve">
Not modelled</t>
        </r>
      </text>
    </comment>
    <comment ref="N33" authorId="0" shapeId="0" xr:uid="{00000000-0006-0000-0200-000006000000}">
      <text>
        <r>
          <rPr>
            <b/>
            <sz val="9"/>
            <rFont val="Tahoma"/>
            <family val="2"/>
          </rPr>
          <t>Tegus (WZ):</t>
        </r>
        <r>
          <rPr>
            <sz val="9"/>
            <rFont val="Tahoma"/>
            <family val="2"/>
          </rPr>
          <t xml:space="preserve">
Not modelled</t>
        </r>
      </text>
    </comment>
    <comment ref="N37" authorId="0" shapeId="0" xr:uid="{00000000-0006-0000-0200-000007000000}">
      <text>
        <r>
          <rPr>
            <b/>
            <sz val="9"/>
            <rFont val="Tahoma"/>
            <family val="2"/>
          </rPr>
          <t>Tegus (WZ):</t>
        </r>
        <r>
          <rPr>
            <sz val="9"/>
            <rFont val="Tahoma"/>
            <family val="2"/>
          </rPr>
          <t xml:space="preserve">
Not modelled</t>
        </r>
      </text>
    </comment>
    <comment ref="N38" authorId="0" shapeId="0" xr:uid="{00000000-0006-0000-0200-000008000000}">
      <text>
        <r>
          <rPr>
            <b/>
            <sz val="9"/>
            <rFont val="Tahoma"/>
            <family val="2"/>
          </rPr>
          <t>Tegus (WZ):</t>
        </r>
        <r>
          <rPr>
            <sz val="9"/>
            <rFont val="Tahoma"/>
            <family val="2"/>
          </rPr>
          <t xml:space="preserve">
Not modelled</t>
        </r>
      </text>
    </comment>
    <comment ref="N42" authorId="0" shapeId="0" xr:uid="{00000000-0006-0000-0200-000009000000}">
      <text>
        <r>
          <rPr>
            <b/>
            <sz val="9"/>
            <rFont val="Tahoma"/>
            <family val="2"/>
          </rPr>
          <t>Tegus (WZ):</t>
        </r>
        <r>
          <rPr>
            <sz val="9"/>
            <rFont val="Tahoma"/>
            <family val="2"/>
          </rPr>
          <t xml:space="preserve">
Not modelled</t>
        </r>
      </text>
    </comment>
    <comment ref="N43" authorId="0" shapeId="0" xr:uid="{00000000-0006-0000-0200-00000A000000}">
      <text>
        <r>
          <rPr>
            <b/>
            <sz val="9"/>
            <rFont val="Tahoma"/>
            <family val="2"/>
          </rPr>
          <t>Tegus (WZ):</t>
        </r>
        <r>
          <rPr>
            <sz val="9"/>
            <rFont val="Tahoma"/>
            <family val="2"/>
          </rPr>
          <t xml:space="preserve">
Not modelled</t>
        </r>
      </text>
    </comment>
    <comment ref="N44" authorId="0" shapeId="0" xr:uid="{00000000-0006-0000-0200-00000B000000}">
      <text>
        <r>
          <rPr>
            <b/>
            <sz val="9"/>
            <rFont val="Tahoma"/>
            <family val="2"/>
          </rPr>
          <t>Tegus (WZ):</t>
        </r>
        <r>
          <rPr>
            <sz val="9"/>
            <rFont val="Tahoma"/>
            <family val="2"/>
          </rPr>
          <t xml:space="preserve">
Not modelled</t>
        </r>
      </text>
    </comment>
  </commentList>
</comments>
</file>

<file path=xl/sharedStrings.xml><?xml version="1.0" encoding="utf-8"?>
<sst xmlns="http://schemas.openxmlformats.org/spreadsheetml/2006/main" count="806" uniqueCount="522">
  <si>
    <t xml:space="preserve">Please contact this email for any model-specific questions: </t>
  </si>
  <si>
    <t>support@tegus.com</t>
  </si>
  <si>
    <t>Company Model:</t>
  </si>
  <si>
    <t>Comments on Model:</t>
  </si>
  <si>
    <t xml:space="preserve">Updated: </t>
  </si>
  <si>
    <t>For:</t>
  </si>
  <si>
    <t>Consensus Data and Real-Time Stock Price:</t>
  </si>
  <si>
    <t>Bloomberg</t>
  </si>
  <si>
    <t>Real-Time Stock Price:</t>
  </si>
  <si>
    <t>Stock Price Override:</t>
  </si>
  <si>
    <t>Aflac Incorporated</t>
  </si>
  <si>
    <t>USD</t>
  </si>
  <si>
    <t>FY2009</t>
  </si>
  <si>
    <t>Growth Analysis</t>
  </si>
  <si>
    <t>Premiums Growth, %</t>
  </si>
  <si>
    <t>Net Investment Income Growth, %</t>
  </si>
  <si>
    <t>Total Revenue Growth, %</t>
  </si>
  <si>
    <t>Underwriting Income (FS)</t>
  </si>
  <si>
    <t>Future Policyholder Benefits and Account Balances, mm</t>
  </si>
  <si>
    <t>Investment Income (FS)</t>
  </si>
  <si>
    <t>Average Total Investments, mm</t>
  </si>
  <si>
    <t>Net Investment Income, mm</t>
  </si>
  <si>
    <t>Net Investment Yield, %</t>
  </si>
  <si>
    <t>Income Statement - As Reported</t>
  </si>
  <si>
    <t>Net premiums, principally supplemental health insurance</t>
  </si>
  <si>
    <t>Net investment income</t>
  </si>
  <si>
    <t>Total other-than-temporary impairment losses</t>
  </si>
  <si>
    <t>Other-than-temporary impairment losses recognized in other comprehensive income</t>
  </si>
  <si>
    <t>Other-than-temporary impairment losses realized</t>
  </si>
  <si>
    <t>Sales and redemptions</t>
  </si>
  <si>
    <t>Derivative and other gains (losses)</t>
  </si>
  <si>
    <t>Total realized investment gains (losses)</t>
  </si>
  <si>
    <t>Other income (loss)</t>
  </si>
  <si>
    <t>Total revenues</t>
  </si>
  <si>
    <t>Benefits and claims, net</t>
  </si>
  <si>
    <t>Amortization of deferred policy acquisition costs</t>
  </si>
  <si>
    <t>Insurance commissions</t>
  </si>
  <si>
    <t>Insurance expenses</t>
  </si>
  <si>
    <t>Interest expense</t>
  </si>
  <si>
    <t>Other operating expenses</t>
  </si>
  <si>
    <t>Total acquisition and operating expenses</t>
  </si>
  <si>
    <t>Total expenses</t>
  </si>
  <si>
    <t>Earnings before income taxes</t>
  </si>
  <si>
    <t>Total income tax expense</t>
  </si>
  <si>
    <t>Net earnings</t>
  </si>
  <si>
    <t>IS Check</t>
  </si>
  <si>
    <t>Adjusted Numbers - As Reported</t>
  </si>
  <si>
    <t>Total deferred income tax</t>
  </si>
  <si>
    <t>Net Earnings</t>
  </si>
  <si>
    <t>Realized investment (gains) losses</t>
  </si>
  <si>
    <t>Other and non-recurring (income) loss</t>
  </si>
  <si>
    <t>Income tax (benefit) expense on items excluded from adjusted earnings</t>
  </si>
  <si>
    <t>Tax reform adjustment</t>
  </si>
  <si>
    <t>Adjusted earnings</t>
  </si>
  <si>
    <t>Current period foreign currency impact</t>
  </si>
  <si>
    <t>Adjusted earnings excluding current period foreign currency impact</t>
  </si>
  <si>
    <t>Revised Income Statement</t>
  </si>
  <si>
    <t>Premiums</t>
  </si>
  <si>
    <t>Net Investment Income</t>
  </si>
  <si>
    <t>Net Investment Gains</t>
  </si>
  <si>
    <t>Other Income</t>
  </si>
  <si>
    <t>Net Revenue</t>
  </si>
  <si>
    <t>OPEX</t>
  </si>
  <si>
    <t>Interest Expense</t>
  </si>
  <si>
    <t>Other Items</t>
  </si>
  <si>
    <t>One-time Items</t>
  </si>
  <si>
    <t>EBT</t>
  </si>
  <si>
    <t>Current Tax</t>
  </si>
  <si>
    <t>Deferred Tax</t>
  </si>
  <si>
    <t>Net Income from Continued Operation</t>
  </si>
  <si>
    <t>Earnings from Equity Investments</t>
  </si>
  <si>
    <t>Discontinued Operations</t>
  </si>
  <si>
    <t>Net Income to NCI</t>
  </si>
  <si>
    <t>Earnings to Preferred and Other Securities</t>
  </si>
  <si>
    <t>Net Income to Common Shareholders</t>
  </si>
  <si>
    <t>Adjustments for Convertible Securities</t>
  </si>
  <si>
    <t>Diluted Net Income to Common Shareholders</t>
  </si>
  <si>
    <t>Non-GAAP Adjustments</t>
  </si>
  <si>
    <t>Non-GAAP Adjustments for Dilutive Securities</t>
  </si>
  <si>
    <t>Adjusted Net Income</t>
  </si>
  <si>
    <t>Current Tax Rate</t>
  </si>
  <si>
    <t>Deferred Tax Rate</t>
  </si>
  <si>
    <t>Earnings Per Share - WAB</t>
  </si>
  <si>
    <t>Earnings Per Share - WAD</t>
  </si>
  <si>
    <t>Adjusted Earnings Per Share - WAD</t>
  </si>
  <si>
    <t>Shares Outstanding - WAB</t>
  </si>
  <si>
    <t>Shares Outstanding - WAD</t>
  </si>
  <si>
    <t>Adjusted Shares Outstanding - WAD</t>
  </si>
  <si>
    <t>Dividend Summary</t>
  </si>
  <si>
    <t>Dividends Paid to Common Shareholders</t>
  </si>
  <si>
    <t>Dividend Per Common Share</t>
  </si>
  <si>
    <t>Payout Ratio</t>
  </si>
  <si>
    <t>Balance Sheet Summary</t>
  </si>
  <si>
    <t>Total Equity</t>
  </si>
  <si>
    <t>Total Common Shareholder's Equity</t>
  </si>
  <si>
    <t>Book Value per Common Share</t>
  </si>
  <si>
    <t>Return on Average Total Assets</t>
  </si>
  <si>
    <t>Return on Average Common Equity</t>
  </si>
  <si>
    <t>Valuation</t>
  </si>
  <si>
    <t>Avg</t>
  </si>
  <si>
    <t>Cumulative Cash Flow Statement</t>
  </si>
  <si>
    <t>CFO</t>
  </si>
  <si>
    <t>Deferred Income tax</t>
  </si>
  <si>
    <t>CFO before WC</t>
  </si>
  <si>
    <t>Change in receivables and advance premiums</t>
  </si>
  <si>
    <t>Increase in deferred policy acquisition costs</t>
  </si>
  <si>
    <t>Increase in policy liabilities</t>
  </si>
  <si>
    <t>Change in income tax liabilities</t>
  </si>
  <si>
    <t>Other, net</t>
  </si>
  <si>
    <t>Net CFO</t>
  </si>
  <si>
    <t>CFI</t>
  </si>
  <si>
    <t>Fixed maturities sold, available for sale</t>
  </si>
  <si>
    <t>Fixed maturities matured or called, available for sale</t>
  </si>
  <si>
    <t>Perpetual securities sold, available for sale</t>
  </si>
  <si>
    <t>Perpetual securities matured or called, available for sale</t>
  </si>
  <si>
    <t>Equity securities sold, available for sale</t>
  </si>
  <si>
    <t>Fixed maturities matured or called, held to maturity</t>
  </si>
  <si>
    <t>Available for sale fixed maturities acquired</t>
  </si>
  <si>
    <t>Available for sale equity securities acquired</t>
  </si>
  <si>
    <t>Held to maturity fixed maturities acquired</t>
  </si>
  <si>
    <t>Cash received as collateral on loaned securities, net</t>
  </si>
  <si>
    <t>Other investments, net</t>
  </si>
  <si>
    <t>Purchase of subsidiary</t>
  </si>
  <si>
    <t>Settlement of derivatives, net</t>
  </si>
  <si>
    <t>Cash received (pledged or returned) as collateral, net</t>
  </si>
  <si>
    <t>Net CFI</t>
  </si>
  <si>
    <t>CFF</t>
  </si>
  <si>
    <t>Purchases of treasury stock</t>
  </si>
  <si>
    <t>Proceeds from borrowings</t>
  </si>
  <si>
    <t>Principal payments under debt obligations</t>
  </si>
  <si>
    <t>Dividends paid to shareholders</t>
  </si>
  <si>
    <t>Change in investment-type contracts, net</t>
  </si>
  <si>
    <t>Treasury stock reissued</t>
  </si>
  <si>
    <t>Net CFF</t>
  </si>
  <si>
    <t>FX</t>
  </si>
  <si>
    <t>Net Change in Cash Balance</t>
  </si>
  <si>
    <t>Beginning Cash Balance</t>
  </si>
  <si>
    <t>Ending Cash Balance</t>
  </si>
  <si>
    <t>Cash Flow Statement</t>
  </si>
  <si>
    <t>CF Check</t>
  </si>
  <si>
    <t>Balance Sheet</t>
  </si>
  <si>
    <t>Assets</t>
  </si>
  <si>
    <t>Fixed maturities, available for sale, at fair value</t>
  </si>
  <si>
    <t>Perpetual securities, available for sale, at fair value</t>
  </si>
  <si>
    <t>Equity securities, available for sale, at fair value</t>
  </si>
  <si>
    <t>Fixed maturities, held to maturity, at amortized cost</t>
  </si>
  <si>
    <t>Other Investments</t>
  </si>
  <si>
    <t>Cash and cash equivalents</t>
  </si>
  <si>
    <t>Total investments and cash</t>
  </si>
  <si>
    <t>Receivables</t>
  </si>
  <si>
    <t>Accrued investment income</t>
  </si>
  <si>
    <t>Deferred policy acquisition costs</t>
  </si>
  <si>
    <t>Property and equipment, at cost less accumulated depreciation</t>
  </si>
  <si>
    <t>Other</t>
  </si>
  <si>
    <t>Total Assets</t>
  </si>
  <si>
    <t>Liabilities</t>
  </si>
  <si>
    <t>Future policy benefits</t>
  </si>
  <si>
    <t>Unpaid policy claims</t>
  </si>
  <si>
    <t>Unearned premiums</t>
  </si>
  <si>
    <t>Other policyholders’ funds</t>
  </si>
  <si>
    <t>Total policy liabilities</t>
  </si>
  <si>
    <t>Income Taxes</t>
  </si>
  <si>
    <t>Payables for return of cash collateral on loaned securities</t>
  </si>
  <si>
    <t>Notes payable</t>
  </si>
  <si>
    <t>Total Liabilities</t>
  </si>
  <si>
    <t>Shareholders' Equity</t>
  </si>
  <si>
    <t>Common stock</t>
  </si>
  <si>
    <t>Additional paid-in capital</t>
  </si>
  <si>
    <t>Retained earnings</t>
  </si>
  <si>
    <t>Unrealized foreign currency translation gains (losses)</t>
  </si>
  <si>
    <t>Unrealized gains (losses) on securities not other-than-temporarily impaired</t>
  </si>
  <si>
    <t>Unrealized gain (losses) on investment securities</t>
  </si>
  <si>
    <t>Unrealized gains (losses) on derivatives</t>
  </si>
  <si>
    <t>Pension liability adjustment</t>
  </si>
  <si>
    <t>Treasury stock, at average cost</t>
  </si>
  <si>
    <t>Total SE</t>
  </si>
  <si>
    <t>NCI</t>
  </si>
  <si>
    <t>Total Liabilities &amp; SE</t>
  </si>
  <si>
    <t>BS Check</t>
  </si>
  <si>
    <t>Model Checks</t>
  </si>
  <si>
    <t>Net Income on Revised IS = NI on CF statement</t>
  </si>
  <si>
    <t>Net Income on Reported IS = NI on Revised</t>
  </si>
  <si>
    <t>Premium = Premium in RIS</t>
  </si>
  <si>
    <t>NetII = NetII in RIS</t>
  </si>
  <si>
    <t>FPB = FPB in BS</t>
  </si>
  <si>
    <t>Investments = Investments in BS</t>
  </si>
  <si>
    <t>Cash Balance &gt; 0</t>
  </si>
  <si>
    <t>Income Statement is not Repeated</t>
  </si>
  <si>
    <t>Balance Sheet is not Repeated</t>
  </si>
  <si>
    <t>Ending CF = Ending Cumulative CF</t>
  </si>
  <si>
    <t>*RIS NI FY = Sum of Qs</t>
  </si>
  <si>
    <t>*RIS Adjusted NI FY = Sum of Qs</t>
  </si>
  <si>
    <t>*CFO Before WC subtotal FY = Sum of Qs</t>
  </si>
  <si>
    <t>*CFO subtotal FY = Sum of Qs</t>
  </si>
  <si>
    <t>*CFI subtotal FY = Sum of Qs</t>
  </si>
  <si>
    <t>*CFF subtotal FY = Sum of Qs</t>
  </si>
  <si>
    <t>Other Tables</t>
  </si>
  <si>
    <t>Ticker Symbol</t>
  </si>
  <si>
    <t>AFL US</t>
  </si>
  <si>
    <t>NYSE:AFL</t>
  </si>
  <si>
    <t>AFL-US</t>
  </si>
  <si>
    <t>AFL.N</t>
  </si>
  <si>
    <t>Valuation Toggle Table</t>
  </si>
  <si>
    <t>High</t>
  </si>
  <si>
    <t>Low</t>
  </si>
  <si>
    <t>Consensus Estimate Table</t>
  </si>
  <si>
    <t>FY or FQ</t>
  </si>
  <si>
    <t>Period</t>
  </si>
  <si>
    <t>Stock Price Table</t>
  </si>
  <si>
    <t>Fiscal Period Start Date</t>
  </si>
  <si>
    <t>Is Historical Period</t>
  </si>
  <si>
    <t>Real-Time Off Source</t>
  </si>
  <si>
    <t>Capital IQ</t>
  </si>
  <si>
    <t>FactSet</t>
  </si>
  <si>
    <t>General Table</t>
  </si>
  <si>
    <t>Last Price</t>
  </si>
  <si>
    <t>Last Price Date</t>
  </si>
  <si>
    <t>Real-Time Stock Price</t>
  </si>
  <si>
    <t>Last Price Formula</t>
  </si>
  <si>
    <t>Trade Currency</t>
  </si>
  <si>
    <t>Trade Currency Hardcoded</t>
  </si>
  <si>
    <t>Model Sheet Currency Hardcoded</t>
  </si>
  <si>
    <t>Most Recent FX</t>
  </si>
  <si>
    <t>Most Recent FX Hardcoded</t>
  </si>
  <si>
    <t>MRFP Column Number</t>
  </si>
  <si>
    <t>Most Recent Fiscal Period (MRFP)</t>
  </si>
  <si>
    <t>Current Fiscal Year</t>
  </si>
  <si>
    <t>Data Source Index</t>
  </si>
  <si>
    <t>Guidance</t>
  </si>
  <si>
    <t>Model</t>
  </si>
  <si>
    <t>Difference vs. Mid</t>
  </si>
  <si>
    <t>Update Log</t>
  </si>
  <si>
    <t>Type</t>
  </si>
  <si>
    <t>Item</t>
  </si>
  <si>
    <t>Item Name</t>
  </si>
  <si>
    <t>Fiscal Period</t>
  </si>
  <si>
    <t>Mid</t>
  </si>
  <si>
    <t>Output</t>
  </si>
  <si>
    <t>Absolute</t>
  </si>
  <si>
    <t>Relative</t>
  </si>
  <si>
    <t>Date</t>
  </si>
  <si>
    <t>Link</t>
  </si>
  <si>
    <t>Aflac Japan Third Sector Sales</t>
  </si>
  <si>
    <t>FY2018</t>
  </si>
  <si>
    <t>Press Release</t>
  </si>
  <si>
    <t>Aflac Japan Third Sector Earned Premiums</t>
  </si>
  <si>
    <t>Aflac US Premium Sales Growth</t>
  </si>
  <si>
    <t>Aflac US Earned Premium Growth</t>
  </si>
  <si>
    <t>MO_RIS_EPS_WAD_Adj</t>
  </si>
  <si>
    <t>Reports</t>
  </si>
  <si>
    <t>Capitalization Summary</t>
  </si>
  <si>
    <t>Underwriting Income</t>
  </si>
  <si>
    <t>Investment Income</t>
  </si>
  <si>
    <t>GAAP Financials</t>
  </si>
  <si>
    <t>Tax</t>
  </si>
  <si>
    <t>Base Period</t>
  </si>
  <si>
    <t>Non-GAAP Financials</t>
  </si>
  <si>
    <t>Profitability Ratios</t>
  </si>
  <si>
    <t>Valuation Metrics</t>
  </si>
  <si>
    <t>Check</t>
  </si>
  <si>
    <t>GAAP NI</t>
  </si>
  <si>
    <t>Update Date</t>
  </si>
  <si>
    <t>Updated By (Initials)</t>
  </si>
  <si>
    <t>Update Type</t>
  </si>
  <si>
    <t>Special Comments</t>
  </si>
  <si>
    <t>Link to Press Release / News Item</t>
  </si>
  <si>
    <t>SW YY</t>
  </si>
  <si>
    <t>Earnings Press Release</t>
  </si>
  <si>
    <t>WZ</t>
  </si>
  <si>
    <t>Q3-2018</t>
  </si>
  <si>
    <t>Added Economic Net Income</t>
  </si>
  <si>
    <t>IP &amp; JZ</t>
  </si>
  <si>
    <t>Q2-2018</t>
  </si>
  <si>
    <t>WZ &amp; IP</t>
  </si>
  <si>
    <t>Q1-2018</t>
  </si>
  <si>
    <t>BW</t>
  </si>
  <si>
    <t>FY2017</t>
  </si>
  <si>
    <t>Q3-2017</t>
  </si>
  <si>
    <t>MB &amp; MP</t>
  </si>
  <si>
    <t>Q2-2017</t>
  </si>
  <si>
    <t>RD</t>
  </si>
  <si>
    <t>New Build</t>
  </si>
  <si>
    <t>NQ</t>
  </si>
  <si>
    <t>Q1-2019</t>
  </si>
  <si>
    <r>
      <rPr>
        <b/>
        <sz val="7"/>
        <color rgb="FF000000"/>
        <rFont val="Calibri"/>
        <family val="2"/>
        <scheme val="minor"/>
      </rPr>
      <t>DISCLAIMER</t>
    </r>
    <r>
      <rPr>
        <sz val="7"/>
        <color rgb="FF000000"/>
        <rFont val="Calibri"/>
        <family val="2"/>
        <scheme val="minor"/>
      </rPr>
      <t xml:space="preserve">
Access to and use of this model, including the data contained herein (this "Model") is subject to Tegus, Inc.'s (a successor entity to Canalyst Financial Modeling Corporation) ("Company") Terms of Use that you accepted prior to accessing this Model, the applicable Service Agreement between the Company and you (or a corporate entity that has authorized you to access and use this Model on its behalf in accordance with the terms of such Service Agreement) or other similar agreement between you and the Company. BY CONTINUING TO ACCESS OR USE THIS MODEL, YOU EXPRESSLY AGREE TO THE TERMS AND CONDITIONS OF SUCH AGREEMENTS.
</t>
    </r>
    <r>
      <rPr>
        <b/>
        <sz val="7"/>
        <color rgb="FF000000"/>
        <rFont val="Calibri"/>
        <family val="2"/>
        <scheme val="minor"/>
      </rPr>
      <t>The Company and certain of its licensors have exclusive proprietary rights in this Model. This Model is being provided for internal use only. Unless prior written consent by the Company and its licensors has been provided to you, you may not distribute or otherwise furnish this Model to any third party, nor use or permit anyone to use this Model for any unlawful or unauthorized purpose. IF YOU HAVE UNLAWFULLY OBTAINED, OR ARE NOT AUTHORIZED TO USE THIS MODEL, YOU ARE OBLIGATED TO PROMPTLY: (I) RETURN THIS MODEL (AND ANY DERIVATIVE WORKS ARISING FROM OR RELATING THERETO) TO THE AUTHORIZED USER OF THIS MODEL; (II) PROVIDE NOTICE TO THE COMPANY AT LEGAL@TEGUS.COM OF SUCH UNLAWFUL OR UNAUTHORIZED ACCESS AND USE; AND, (III) CERTIFY THAT YOU HAVE DESTROYED THIS MODEL (AND ANY DERIVATIVE WORKS ARISING FROM OR RELATING THERETO) AND ANY COPIES FROM YOUR SYSTEMS SO AS TO ENSURE THEY ARE INCAPABLE OF RETRIEVAL.</t>
    </r>
    <r>
      <rPr>
        <sz val="7"/>
        <color rgb="FF000000"/>
        <rFont val="Calibri"/>
        <family val="2"/>
        <scheme val="minor"/>
      </rPr>
      <t xml:space="preserve">
A portion of the data contained in this Model may be powered by third party contributors and their respective licensors, or derived from data provided by such contributors, including (but not limited to): (i) </t>
    </r>
    <r>
      <rPr>
        <b/>
        <sz val="7"/>
        <color rgb="FF000000"/>
        <rFont val="Calibri"/>
        <family val="2"/>
        <scheme val="minor"/>
      </rPr>
      <t>QuoteMedia Inc.</t>
    </r>
    <r>
      <rPr>
        <sz val="7"/>
        <color rgb="FF000000"/>
        <rFont val="Calibri"/>
        <family val="2"/>
        <scheme val="minor"/>
      </rPr>
      <t xml:space="preserve">: A portion of the market data is powered by Quotemedia.com. All rights reserved. Data delayed 15 minutes unless otherwise indicated; (ii) </t>
    </r>
    <r>
      <rPr>
        <b/>
        <sz val="7"/>
        <color rgb="FF000000"/>
        <rFont val="Calibri"/>
        <family val="2"/>
        <scheme val="minor"/>
      </rPr>
      <t>S&amp;P Global Market Intelligence LLC</t>
    </r>
    <r>
      <rPr>
        <sz val="7"/>
        <color rgb="FF000000"/>
        <rFont val="Calibri"/>
        <family val="2"/>
        <scheme val="minor"/>
      </rPr>
      <t xml:space="preserve">: Copyright (c) {{YEAR}} S&amp;P Global Market Intelligence LLC (and its affiliates as applicable). All rights reserved. Reproduction of any information, opinions, views, data or material, including ratings ("Content") in any form is prohibited except with the prior written permission of the relevant party. Such party, its affiliates and suppliers ("Content Providers") do not guarantee the accuracy, adequacy, completeness, timeliness or availability of any Content and are not responsible for any errors or omissions (negligent or otherwise), regardless of the cause, or for the results obtained from the use of such Content. In no event shall Content Providers be liable for any damages, costs, expenses, legal fees, or losses (including lost income or lost profit and opportunity costs) in connection with any use of the Content. A reference to a particular investment or security, a rating or any observation concerning an investment that is part of the Content is not a recommendation to buy, sell or hold such investment or security, does not address the suitability of an investment or security and should not be relied on as investment advice. Credit ratings are statements of opinions and are not statements of fact; and, (iii) </t>
    </r>
    <r>
      <rPr>
        <b/>
        <sz val="7"/>
        <color rgb="FF000000"/>
        <rFont val="Calibri"/>
        <family val="2"/>
        <scheme val="minor"/>
      </rPr>
      <t>Refinitiv Canada Holdings Limited</t>
    </r>
    <r>
      <rPr>
        <sz val="7"/>
        <color rgb="FF000000"/>
        <rFont val="Calibri"/>
        <family val="2"/>
        <scheme val="minor"/>
      </rPr>
      <t xml:space="preserve">: A portion of the information may be provided by or derived from data provided by Refinitiv.
By accessing or using this Model (including any portion of the data contained herein) you expressly represent that such access or use does not constitute a violation of any applicable law or regulation to which you or the securities are subject.
This Model does not constitute investment advice by the Company or any of its licensors. Reference to a particular investment or security, credit rating or any observation concerning a security or investment in this Model is not a recommendation or solicitation to buy, sell or hold such investment or security or make any other investment decisions. For greater certainty, any forecasts or forward-looking information expressed herein are for illustrative purposes only and do not purport to express any view on what may transpire. Neither the Company nor any of its licensors have performed company-specific research on any projected information, as such, it is your responsibility to express your own views on projected results. This Model does not guarantee future performance and undue reliance should not be placed on such. You are solely responsible for evaluating the merits and risks of any investment based on your own business and financial expertise, the business and financial expertise of professional advisors with whom you have consulted, your financial situation and risk tolerance. Neither the Company, nor any of its licensors, undertake any liability with respect to your reliance on this Model.
This Model is a quantitative tool with no investment views. The Company and its respective directors, officers, employees, agents, contractors, and affiliates may hold long or short positions in the security to which this Model relates, based on their personal views, and may initiate or close out any positions in such security at any time without any notice.
</t>
    </r>
    <r>
      <rPr>
        <b/>
        <sz val="7"/>
        <color rgb="FF000000"/>
        <rFont val="Calibri"/>
        <family val="2"/>
        <scheme val="minor"/>
      </rPr>
      <t>THIS MODEL IS PROVIDED "AS IS" AND ON AN "AS AVAILABLE" BASIS ONLY, WITHOUT WARRANTIES OR CONDITIONS OF ANY KIND. NEITHER THE COMPANY NOR ANY OF ITS LICENSORS NOR THEIR RESPECTIVE AFFILIATES OR SUPPLIERS HAVE LIABILITY FOR THE ACCURACY, TIMELINESS OR COMPLETENESS OF THIS MODEL, OR FOR DELAYS, INTERRUPTIONS OR OMISSIONS HEREIN, NOR FOR ANY LOST PROFITS, INDIRECT, SPECIAL OR CONSEQUENTIAL DAMAGES.</t>
    </r>
    <r>
      <rPr>
        <sz val="7"/>
        <color rgb="FF000000"/>
        <rFont val="Calibri"/>
        <family val="2"/>
        <scheme val="minor"/>
      </rPr>
      <t xml:space="preserve"> Access to data in this Model that is sourced from third party contributors is subject to termination in the event that any agreement between the Company and such third party contributors terminates for any reason.
</t>
    </r>
    <r>
      <rPr>
        <b/>
        <sz val="7"/>
        <color rgb="FF000000"/>
        <rFont val="Calibri"/>
        <family val="2"/>
        <scheme val="minor"/>
      </rPr>
      <t>Copyright 2023 Tegus. All rights reserved.</t>
    </r>
  </si>
  <si>
    <t>Total Investments as a % of Future Policyholder Benefits and Account Balances, %</t>
  </si>
  <si>
    <t>Most Recent Period:</t>
  </si>
  <si>
    <t>OFF</t>
  </si>
  <si>
    <t>FY2019</t>
  </si>
  <si>
    <t>Aflac Japan Third Sector Earned Premium Growth</t>
  </si>
  <si>
    <t>ML &amp; OG</t>
  </si>
  <si>
    <t>Q2-2019</t>
  </si>
  <si>
    <t>First Forecast Fiscal Year</t>
  </si>
  <si>
    <t>Q3-2019</t>
  </si>
  <si>
    <t>Return on Average Total Assets, %</t>
  </si>
  <si>
    <t>Return on Average Common Equity, %</t>
  </si>
  <si>
    <t>NQ &amp; ML</t>
  </si>
  <si>
    <t>MO_CFS_Buyback</t>
  </si>
  <si>
    <t>Most Recent Period</t>
  </si>
  <si>
    <t>Quarterly (Earnings Report)</t>
  </si>
  <si>
    <t>Annual (Earnings Report)</t>
  </si>
  <si>
    <t>Q1-2017</t>
  </si>
  <si>
    <t>FY2020</t>
  </si>
  <si>
    <t>ML</t>
  </si>
  <si>
    <t>Key Outputs</t>
  </si>
  <si>
    <t>Q1-2020</t>
  </si>
  <si>
    <t>ArS</t>
  </si>
  <si>
    <t>Initial (Press Release)</t>
  </si>
  <si>
    <t>SUSPENDED</t>
  </si>
  <si>
    <t>ALL GUIDANCE</t>
  </si>
  <si>
    <t>Commercial mortgage and other loans</t>
  </si>
  <si>
    <t>Capital Resources</t>
  </si>
  <si>
    <t>Short-term debt</t>
  </si>
  <si>
    <t>Long-term debt</t>
  </si>
  <si>
    <t>Total Debt</t>
  </si>
  <si>
    <t>Total Shareholders' Equity</t>
  </si>
  <si>
    <t>Total Capitalization</t>
  </si>
  <si>
    <t>Debt to Capital Ratio, %</t>
  </si>
  <si>
    <t>Net Debt Issuance (Repayment)</t>
  </si>
  <si>
    <t>Net Share Issuance (Buybacks)</t>
  </si>
  <si>
    <t>Estimated Share Price for Issuance/Buybacks, USD</t>
  </si>
  <si>
    <t>Effective Interest Rate on Debt, %</t>
  </si>
  <si>
    <t>Unrealized gains (losses) on securities and derivatives</t>
  </si>
  <si>
    <t>Total Adjusted Common Equity</t>
  </si>
  <si>
    <t>Adjusted Value per Common Share</t>
  </si>
  <si>
    <t>Weighted-average yen/dollar exchange rate</t>
  </si>
  <si>
    <t>Deferred Acquisition Costs and Value of Business Acquired</t>
  </si>
  <si>
    <t>DAC and VOBA, mm</t>
  </si>
  <si>
    <t>Policy Acquisition Expense Incurred, mm</t>
  </si>
  <si>
    <t>Policy Acquisition Expense Paid - Implied, mm</t>
  </si>
  <si>
    <t>Change in DAC and VOBA, mm</t>
  </si>
  <si>
    <t>Policy Acquisition Expense Payout Ratio, %</t>
  </si>
  <si>
    <t>Aflac U.S - Benefits and claims ratio, %</t>
  </si>
  <si>
    <t>Aflac U.S - Amortization of deferred policy acquisition costs ratio, %</t>
  </si>
  <si>
    <t>Aflac U.S - Insurance commissions ratio, %</t>
  </si>
  <si>
    <t>Aflac U.S - Insurance and other expenses ratio, %</t>
  </si>
  <si>
    <t>Aflac U.S - Pretax adjusted earnings ratio, %</t>
  </si>
  <si>
    <t>Segmented Results - Aflac U.S (FS)</t>
  </si>
  <si>
    <t>Aflac U.S - Net Premium Income, mm</t>
  </si>
  <si>
    <t>Aflac U.S - Adjusted Net Investment Income, mm</t>
  </si>
  <si>
    <t>Aflac U.S - Other Income, mm</t>
  </si>
  <si>
    <t>Aflac U.S - Total Adjusted Revenues, mm</t>
  </si>
  <si>
    <t>Aflac U.S - Benefits and claims, mm</t>
  </si>
  <si>
    <t>Aflac U.S - Amortization of deferred policy acquisition costs, mm</t>
  </si>
  <si>
    <t>Aflac U.S - Insurance commissions, mm</t>
  </si>
  <si>
    <t>Aflac U.S - Insurance and other expenses, mm</t>
  </si>
  <si>
    <t>Aflac U.S - Adjusted EBT, mm</t>
  </si>
  <si>
    <t>Corporate and Other - Net Premium Income, mm</t>
  </si>
  <si>
    <t>Corporate and Other - Adjusted Net Investment Income, mm</t>
  </si>
  <si>
    <t>Corporate and Other - Other Income, mm</t>
  </si>
  <si>
    <t>Corporate and Other - Total Adjusted Revenues, mm</t>
  </si>
  <si>
    <t>Corporate and Other - Benefits and claims, mm</t>
  </si>
  <si>
    <t>Corporate and Other - Adjusted EBT, mm</t>
  </si>
  <si>
    <t>Aflac Japan - Net Premium Income, mm</t>
  </si>
  <si>
    <t>Aflac Japan - Adjusted Net Investment Income, mm</t>
  </si>
  <si>
    <t>Aflac Japan - Other Income, mm</t>
  </si>
  <si>
    <t>Aflac Japan - Total Adjusted Revenues, mm</t>
  </si>
  <si>
    <t>Aflac Japan - Benefits and claims, mm</t>
  </si>
  <si>
    <t>Aflac Japan - Amortization of deferred policy acquisition costs, mm</t>
  </si>
  <si>
    <t>Aflac Japan - Insurance commissions, mm</t>
  </si>
  <si>
    <t>Aflac Japan - Insurance and other expenses, mm</t>
  </si>
  <si>
    <t>Aflac Japan - Adjusted EBT, mm</t>
  </si>
  <si>
    <t>Aflac Japan - Benefits and claims ratio, %</t>
  </si>
  <si>
    <t>Aflac Japan - Amortization of deferred policy acquisition costs ratio, %</t>
  </si>
  <si>
    <t>Aflac Japan - Insurance commissions ratio, %</t>
  </si>
  <si>
    <t>Aflac Japan - Insurance and other expenses ratio, %</t>
  </si>
  <si>
    <t>Aflac Japan - Pretax adjusted earnings ratio, %</t>
  </si>
  <si>
    <t>Discrepancy, mm</t>
  </si>
  <si>
    <t>Aflac Japan - Premiums, mm</t>
  </si>
  <si>
    <t>Aflac U.S - Premiums, mm</t>
  </si>
  <si>
    <t>Corporate and Other - Premiums, mm</t>
  </si>
  <si>
    <t>Aflac Japan - Premiums growth, %</t>
  </si>
  <si>
    <t>Aflac U.S - Premiums growth, %</t>
  </si>
  <si>
    <t>Corporate and Other - Interest expense, mm</t>
  </si>
  <si>
    <t>Corporate and Other - Other adjusted expenses, mm</t>
  </si>
  <si>
    <t>Investment Income - Aflac Japan (FS)</t>
  </si>
  <si>
    <t>Aflac Japan - Investments - Beginning of Period, mm</t>
  </si>
  <si>
    <t>Aflac Japan - Investments - Change, mm</t>
  </si>
  <si>
    <t>Aflac Japan - Investments - End of Period, mm</t>
  </si>
  <si>
    <t>Aflac Japan - Investments - Avg. of Period, mm</t>
  </si>
  <si>
    <t>Change in Aflac Japan - Investments - End of Period, %</t>
  </si>
  <si>
    <t>Aflac Japan - Net Investment Income Yield (Annualized), %</t>
  </si>
  <si>
    <t>Investment Income - Aflac U.S (FS)</t>
  </si>
  <si>
    <t>Aflac U.S - Investments - Beginning of Period, mm</t>
  </si>
  <si>
    <t>Aflac U.S - Investments - Change, mm</t>
  </si>
  <si>
    <t>Aflac U.S - Investments - End of Period, mm</t>
  </si>
  <si>
    <t>Aflac U.S - Investments - Avg. of Period, mm</t>
  </si>
  <si>
    <t>Change in Aflac U.S - Investments - End of Period, %</t>
  </si>
  <si>
    <t>Aflac U.S - Net Investment Income Yield (Annualized), %</t>
  </si>
  <si>
    <t>Corporate and Other - Investments - End of Period, mm</t>
  </si>
  <si>
    <t>Future Policy Benefits Incurred, mm</t>
  </si>
  <si>
    <t>Future Policy Benefits Paid - Implied, mm</t>
  </si>
  <si>
    <t>Change in Future Policy Benefits, mm</t>
  </si>
  <si>
    <t>Future Policy Benefits Payout Ratio, %</t>
  </si>
  <si>
    <t>Y/Y change in Aflac Japan - Net Premium Income, %</t>
  </si>
  <si>
    <t>Y/Y change in Aflac U.S - Net Premium Income, %</t>
  </si>
  <si>
    <t>Future Policy Benefits</t>
  </si>
  <si>
    <t>Total Premiums, mm</t>
  </si>
  <si>
    <t>Total Policyholder Benefits, Claims and Dividends, mm</t>
  </si>
  <si>
    <t>Total Deferred Acquisition Costs, mm</t>
  </si>
  <si>
    <t>Total Insurance Commissions, mm</t>
  </si>
  <si>
    <t>Total Investments - End of Period, mm</t>
  </si>
  <si>
    <t>Net Investment Gains, mm</t>
  </si>
  <si>
    <t>Total Other Operating Expenses, mm</t>
  </si>
  <si>
    <t>z_BFIGLN0159_MO_GA_AflacUSPremiumsgrowth</t>
  </si>
  <si>
    <t>Discrepancy - Premiums, mm</t>
  </si>
  <si>
    <t>Discrepancy - Benefits and claims, mm</t>
  </si>
  <si>
    <t>Discrepancy - Amortization of deferred policy acquisition costs, mm</t>
  </si>
  <si>
    <t>Discrepancy - Insurance commissions, mm</t>
  </si>
  <si>
    <t>Discrepancy - Other adjusted expenses, mm</t>
  </si>
  <si>
    <t>Q2-2020</t>
  </si>
  <si>
    <t>Q3-2020</t>
  </si>
  <si>
    <t>OG</t>
  </si>
  <si>
    <t>Segmented Results - Aflac Japan (FS &amp; Supplemental)</t>
  </si>
  <si>
    <t>Tax valuation allowance release</t>
  </si>
  <si>
    <t>Refinitiv</t>
  </si>
  <si>
    <t>Q1-2021</t>
  </si>
  <si>
    <t>HN</t>
  </si>
  <si>
    <t>Segmented Results - Corporate and Other (FS, Supplement)</t>
  </si>
  <si>
    <t>Q2-2021</t>
  </si>
  <si>
    <t>Q3-2021</t>
  </si>
  <si>
    <t>FY2021</t>
  </si>
  <si>
    <t>SL</t>
  </si>
  <si>
    <t>Q1-2022</t>
  </si>
  <si>
    <t>HD</t>
  </si>
  <si>
    <t>AhS</t>
  </si>
  <si>
    <t>Last Working Day In Period</t>
  </si>
  <si>
    <t>Stock Price EoP</t>
  </si>
  <si>
    <t>FX EoP</t>
  </si>
  <si>
    <t>AFL_US</t>
  </si>
  <si>
    <t>Q2-2022</t>
  </si>
  <si>
    <t>ATK</t>
  </si>
  <si>
    <t>Share Count Analysis</t>
  </si>
  <si>
    <t>Q3-2022</t>
  </si>
  <si>
    <t>HG</t>
  </si>
  <si>
    <t>FY2022</t>
  </si>
  <si>
    <t>JJ</t>
  </si>
  <si>
    <t>Key Metrics - Employees (FS)</t>
  </si>
  <si>
    <t>Total Employees, # of employees</t>
  </si>
  <si>
    <t>Aflac U.S. Employees, # of employees</t>
  </si>
  <si>
    <t>Aflac Japan Employees, # of employees</t>
  </si>
  <si>
    <t>Other Employees, # of employees</t>
  </si>
  <si>
    <t>Y/Y Total Employees Growth, %</t>
  </si>
  <si>
    <t>Key Metrics - Dashboard Metrics (FS)</t>
  </si>
  <si>
    <t>Policyholder Benefits, Claims and Dividends, mm</t>
  </si>
  <si>
    <t>Total Amortization of DAC and VOBA, mm</t>
  </si>
  <si>
    <t>Interest Expense, mm</t>
  </si>
  <si>
    <t>Other Operating Expenses, mm</t>
  </si>
  <si>
    <t>Total Expenses, mm</t>
  </si>
  <si>
    <t>KPI Data</t>
  </si>
  <si>
    <t>MO_RIS_REV</t>
  </si>
  <si>
    <t>MO_RIS_NI_NONGAAP_Diluted</t>
  </si>
  <si>
    <t>MO_OS_EmployeeCount</t>
  </si>
  <si>
    <t>KPI Count</t>
  </si>
  <si>
    <t>Apply Trade Currency Scaling</t>
  </si>
  <si>
    <t>Q1-2023</t>
  </si>
  <si>
    <t>KuB</t>
  </si>
  <si>
    <t>Effect of change in discount rate assumptions</t>
  </si>
  <si>
    <t>Unrestated</t>
  </si>
  <si>
    <t>Q2-2023</t>
  </si>
  <si>
    <t>Q3-2023</t>
  </si>
  <si>
    <t>SHK</t>
  </si>
  <si>
    <t>Q/Q basic share expansion from dilutive securities, %</t>
  </si>
  <si>
    <t>Y/Y basic share expansion from dilutive securities, %</t>
  </si>
  <si>
    <t>Q/Q basic share expansion from share issuance (buyback), %</t>
  </si>
  <si>
    <t>Y/Y basic share expansion from share issuance (buyback), %</t>
  </si>
  <si>
    <t>Q/Q basic share expansion - EoP, %</t>
  </si>
  <si>
    <t>Y/Y basic share expansion - EoP, %</t>
  </si>
  <si>
    <t>Diluted share count to basic share count ratio, x</t>
  </si>
  <si>
    <t>EoP</t>
  </si>
  <si>
    <t>EoP Common Stock Outstanding, mm shares</t>
  </si>
  <si>
    <t>Cover Page Common Stock Outstanding, mm shares</t>
  </si>
  <si>
    <t>Date of Cover Page Share Count, date</t>
  </si>
  <si>
    <t>Dilutive Shares, mm shares</t>
  </si>
  <si>
    <t>EoP Total Diluted Common Stock Outstanding, mm shares</t>
  </si>
  <si>
    <t>Cash paid for interest</t>
  </si>
  <si>
    <t>Cash paid (received) for income taxes</t>
  </si>
  <si>
    <t>Quarterly Guidance Table</t>
  </si>
  <si>
    <t>Reporting Date</t>
  </si>
  <si>
    <t>Applicable Period</t>
  </si>
  <si>
    <t>Annual Guidance Table</t>
  </si>
  <si>
    <t>Is Latest</t>
  </si>
  <si>
    <t>MO_KPI_FPBandAB</t>
  </si>
  <si>
    <t>MO_KPI_FPBandAB_PayoutRatio</t>
  </si>
  <si>
    <t>MO_KPI_InvestmentBalance</t>
  </si>
  <si>
    <t>MO_KPI_NetIIYield</t>
  </si>
  <si>
    <t>MO_RIS_NEP</t>
  </si>
  <si>
    <t>MO_RIS_NetIG</t>
  </si>
  <si>
    <t>MO_RIS_NetII</t>
  </si>
  <si>
    <t>MO_KPI_PBCD</t>
  </si>
  <si>
    <t>MO_KPI_DAC_Amortization</t>
  </si>
  <si>
    <t>MO_KPI_IE</t>
  </si>
  <si>
    <t>MO_KPI_TotalExpenses</t>
  </si>
  <si>
    <t>MO_BSS_ROA</t>
  </si>
  <si>
    <t>MO_BSS_ROE</t>
  </si>
  <si>
    <t>MO_CR_Debt_ToCapitalRatio</t>
  </si>
  <si>
    <t>MO_DS_PayoutRatio</t>
  </si>
  <si>
    <t>MO_KPI_DAC</t>
  </si>
  <si>
    <t>FY2023</t>
  </si>
  <si>
    <t>FV</t>
  </si>
  <si>
    <t>AHA</t>
  </si>
  <si>
    <t>Restated</t>
  </si>
  <si>
    <t>FY2024</t>
  </si>
  <si>
    <t>z_BFIGLN0159_MO_OS_AflacUSPretaxadjustedearningsratio</t>
  </si>
  <si>
    <t>Aflac U.S - Benefit ratio, %</t>
  </si>
  <si>
    <t>Aflac U.S - Expense ratio, %</t>
  </si>
  <si>
    <t>z_BFIGLN0159_MO_OS_YYchangeinAflacUSNetPremiumIncome</t>
  </si>
  <si>
    <t>Aflac Japan - Benefit ratio, %</t>
  </si>
  <si>
    <t>Aflac Japan- Expense ratio, %</t>
  </si>
  <si>
    <t>z_BFIGLN0159_MO_BlankRow_OS_15</t>
  </si>
  <si>
    <t>z_BFIGLN0159_MO_OS_YYchangeinAflacJapanNetPremiumIncome</t>
  </si>
  <si>
    <t>Aflac Japan - New annaualized premium sales</t>
  </si>
  <si>
    <t>Aflac U.S. - New annaualized premium sales</t>
  </si>
  <si>
    <t>FY2026</t>
  </si>
  <si>
    <t>Investor Presentation</t>
  </si>
  <si>
    <t>Q1-2024</t>
  </si>
  <si>
    <t>Need to update your model? Do it in one click with the Updater tool:</t>
  </si>
  <si>
    <t>Tegus Excel Add-in</t>
  </si>
  <si>
    <t>Tegus</t>
  </si>
  <si>
    <t>Q2-2024</t>
  </si>
  <si>
    <t>SBM</t>
  </si>
  <si>
    <t>Q3-2024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</si>
</sst>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7">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0_);_(* \(#,##0.0\);_(* &quot;-&quot;??_);_(@_)"/>
    <numFmt numFmtId="165" formatCode="_(&quot;$&quot;* #,##0_);_(&quot;$&quot;* \(#,##0\);_(&quot;$&quot;* &quot;-&quot;??_);_(@_)"/>
    <numFmt numFmtId="166" formatCode="_(* #,##0_);_(* \(#,##0\);_(* &quot;-&quot;??_);_(@_)"/>
    <numFmt numFmtId="167" formatCode="_(* 0.0%_);_(* \-0.0%_);_(* &quot;-&quot;??_);_(@_)"/>
    <numFmt numFmtId="168" formatCode="_(* #,##0.0_);_(* \(#,##0.0\);_(* &quot;-&quot;??_);@"/>
    <numFmt numFmtId="169" formatCode="_(&quot;$&quot;* 0.00_);_(&quot;$&quot;* \(0.00\);_(&quot;$&quot;* &quot;-&quot;??_);_(@_)"/>
    <numFmt numFmtId="170" formatCode="_(* 0.0\ \x_);\ _(* &quot;n/a&quot;_);_(* &quot;-&quot;??_);_(@_)"/>
    <numFmt numFmtId="171" formatCode="_(@_)"/>
    <numFmt numFmtId="172" formatCode=";;;"/>
    <numFmt numFmtId="173" formatCode="_(&quot;$&quot;* #,##0.000_);_(&quot;$&quot;* \(#,##0.000\);_(&quot;$&quot;* &quot;-&quot;??_);_(@_)"/>
    <numFmt numFmtId="174" formatCode="_(* #,##0.0_);_(* \(#,##0.0\);_(* &quot;-&quot;??_);_(&quot;Bloomberg &gt;&gt; &quot;@_)"/>
    <numFmt numFmtId="175" formatCode="_(* #,##0.0_);_(* \(#,##0.0\);_(* &quot;-&quot;??_);_(&quot;Capital IQ &gt;&gt; &quot;@_)"/>
    <numFmt numFmtId="176" formatCode="_(* #,##0.0_);_(* \(#,##0.0\);_(* &quot;-&quot;??_);_(&quot;FactSet &gt;&gt; &quot;@_)"/>
    <numFmt numFmtId="177" formatCode="_(* #,##0.0_);_(* \(#,##0.0\);_(* &quot;-&quot;??_);_(&quot;Ticker :   &quot;@_)"/>
    <numFmt numFmtId="178" formatCode="_(* 0.00%_);_(* \-0.00%_);_(* &quot;-&quot;??_);_(@_)"/>
    <numFmt numFmtId="179" formatCode="_(* #,##0.0_);_(* \(#,##0.0\);_(* &quot;-&quot;??_);_(&quot;Model Sheet Currency :   &quot;@_)"/>
    <numFmt numFmtId="180" formatCode="_(* #,##0.0_);_(* \(#,##0.0\);_(* &quot;-&quot;??_);_(&quot;Canalyst Security Identification #: &quot;@_)"/>
    <numFmt numFmtId="181" formatCode="_(* #,##0.0_);_(* \(#,##0.0\);_(* &quot;-&quot;??_);_(&quot;Model Version #: &quot;@_)"/>
    <numFmt numFmtId="182" formatCode="_(* #,##0.0_);_(* \(#,##0.0\);_(* &quot; - &quot;??_);_(&quot;Last Price (&quot;@&quot;) &quot;_)"/>
    <numFmt numFmtId="183" formatCode="_(* #,##0.0_);_(* \(#,##0.0\);_(* &quot;-&quot;??_);_(&quot;Real-Time Stock Price :   &quot;@_)"/>
    <numFmt numFmtId="184" formatCode="_(&quot;$&quot;* 0.00_);_(&quot;$&quot;* \(0.00\);_(&quot;$&quot;* &quot; - &quot;??_);_(@_)"/>
    <numFmt numFmtId="185" formatCode="_(* #,##0.000_);_(* \(#,##0.000\);_(* &quot;-&quot;??_);_(@_)"/>
    <numFmt numFmtId="186" formatCode="&quot;Most Recent Period:&quot;"/>
    <numFmt numFmtId="187" formatCode="_(* #,##0.0_);_(* \(#,##0.0\);_(* &quot; -&quot;??_);_(&quot;Refinitiv &gt;&gt; &quot;@_)"/>
    <numFmt numFmtId="188" formatCode="yyyy\-mm\-dd"/>
    <numFmt numFmtId="189" formatCode="_(\$* 0.00_);_(\$* \(0.00\);_(\$* &quot; - &quot;??_);_(@_)"/>
    <numFmt numFmtId="190" formatCode="m\-d\-yy"/>
    <numFmt numFmtId="191" formatCode="_(\$* 0.00_);_(\$* \(0.00\);_(\$* &quot;-&quot;??_);_(@\ * \ &quot;Toggle  &gt;&gt;&gt;&quot;_)"/>
    <numFmt numFmtId="192" formatCode="_(* 0.00\ \x_);\ _(* &quot;n/a&quot;_);_(* &quot;-&quot;??_);_(@_)"/>
    <numFmt numFmtId="193" formatCode="m/d/yy"/>
    <numFmt numFmtId="194" formatCode="_(&quot;$&quot;* #,##0.00_);_(&quot;$&quot;* \(#,##0.00\);_(&quot;$&quot;* &quot; - &quot;??_);_(@_)"/>
    <numFmt numFmtId="195" formatCode="_(\¥* #,##0.00_);_(\¥* \(#,##0.00\);_(\¥* &quot; - &quot;??_);_(@_)"/>
    <numFmt numFmtId="196" formatCode="_(* #,##0.0_);_(* \(#,##0.0\);_(* &quot;-&quot;??_);_(&quot;Tegus Ticker &gt;&gt; &quot;@_)"/>
  </numFmts>
  <fonts count="54">
    <font>
      <sz val="11"/>
      <name val="Calibri"/>
      <family val="2"/>
    </font>
    <font>
      <sz val="10"/>
      <color theme="1"/>
      <name val="Arial"/>
      <family val="2"/>
    </font>
    <font>
      <sz val="11"/>
      <color theme="1"/>
      <name val="Calibri"/>
      <family val="2"/>
      <scheme val="minor"/>
    </font>
    <font>
      <b/>
      <sz val="11"/>
      <color theme="1"/>
      <name val="Calibri"/>
      <family val="2"/>
      <scheme val="minor"/>
    </font>
    <font>
      <u val="single"/>
      <sz val="11"/>
      <color theme="10"/>
      <name val="Calibri"/>
      <family val="2"/>
      <scheme val="minor"/>
    </font>
    <font>
      <i/>
      <sz val="11"/>
      <color theme="1"/>
      <name val="Calibri"/>
      <family val="2"/>
      <scheme val="minor"/>
    </font>
    <font>
      <b/>
      <sz val="11"/>
      <name val="Calibri"/>
      <family val="2"/>
      <scheme val="minor"/>
    </font>
    <font>
      <b/>
      <sz val="11"/>
      <name val="Calibri"/>
      <family val="2"/>
    </font>
    <font>
      <sz val="11"/>
      <name val="Calibri"/>
      <family val="2"/>
      <scheme val="minor"/>
    </font>
    <font>
      <sz val="11"/>
      <color rgb="FFFF0000"/>
      <name val="Calibri"/>
      <family val="2"/>
    </font>
    <font>
      <sz val="22"/>
      <color theme="1"/>
      <name val="Calibri"/>
      <family val="2"/>
      <scheme val="minor"/>
    </font>
    <font>
      <u val="single"/>
      <sz val="11"/>
      <color theme="10"/>
      <name val="Calibri"/>
      <family val="2"/>
    </font>
    <font>
      <sz val="14"/>
      <color theme="1"/>
      <name val="Calibri"/>
      <family val="2"/>
      <scheme val="minor"/>
    </font>
    <font>
      <b/>
      <sz val="11"/>
      <color rgb="FFFF0000"/>
      <name val="Calibri"/>
      <family val="2"/>
    </font>
    <font>
      <sz val="11"/>
      <color rgb="FF006100"/>
      <name val="Calibri"/>
      <family val="2"/>
      <scheme val="minor"/>
    </font>
    <font>
      <sz val="10"/>
      <color theme="1"/>
      <name val="Calibri"/>
      <family val="2"/>
      <scheme val="minor"/>
    </font>
    <font>
      <b/>
      <sz val="10"/>
      <color theme="1"/>
      <name val="Calibri"/>
      <family val="2"/>
      <scheme val="minor"/>
    </font>
    <font>
      <b/>
      <sz val="14"/>
      <color theme="1"/>
      <name val="Calibri"/>
      <family val="2"/>
      <scheme val="minor"/>
    </font>
    <font>
      <sz val="14"/>
      <name val="Calibri"/>
      <family val="2"/>
      <scheme val="minor"/>
    </font>
    <font>
      <i/>
      <sz val="11"/>
      <name val="Calibri"/>
      <family val="2"/>
    </font>
    <font>
      <sz val="11"/>
      <color rgb="FF000000"/>
      <name val="Calibri"/>
      <family val="2"/>
      <scheme val="minor"/>
    </font>
    <font>
      <b/>
      <sz val="11"/>
      <color rgb="FFFFFFFF"/>
      <name val="Calibri"/>
      <family val="2"/>
    </font>
    <font>
      <i/>
      <sz val="11"/>
      <color rgb="FF000000"/>
      <name val="Calibri"/>
      <family val="2"/>
    </font>
    <font>
      <u val="single"/>
      <sz val="22"/>
      <color theme="10"/>
      <name val="Calibri"/>
      <family val="2"/>
      <scheme val="minor"/>
    </font>
    <font>
      <sz val="11"/>
      <color rgb="FF000000"/>
      <name val="Calibri"/>
      <family val="2"/>
    </font>
    <font>
      <b/>
      <sz val="11"/>
      <color rgb="FF000000"/>
      <name val="Calibri"/>
      <family val="2"/>
    </font>
    <font>
      <b/>
      <sz val="11"/>
      <color theme="1"/>
      <name val="Calibri"/>
      <family val="2"/>
    </font>
    <font>
      <sz val="11"/>
      <color theme="1"/>
      <name val="Calibri"/>
      <family val="2"/>
    </font>
    <font>
      <sz val="10"/>
      <color theme="0"/>
      <name val="Calibri"/>
      <family val="2"/>
      <scheme val="minor"/>
    </font>
    <font>
      <b/>
      <sz val="11"/>
      <color rgb="FF000000"/>
      <name val="Calibri"/>
      <family val="2"/>
      <scheme val="minor"/>
    </font>
    <font>
      <b/>
      <sz val="11"/>
      <color rgb="FFFFFFFF"/>
      <name val="Calibri"/>
      <family val="2"/>
      <scheme val="minor"/>
    </font>
    <font>
      <sz val="11"/>
      <color rgb="FFFFFFFF"/>
      <name val="Calibri"/>
      <family val="2"/>
    </font>
    <font>
      <b/>
      <i/>
      <sz val="11"/>
      <color rgb="FF000000"/>
      <name val="Calibri"/>
      <family val="2"/>
    </font>
    <font>
      <b/>
      <i/>
      <sz val="11"/>
      <color rgb="FF000000"/>
      <name val="Calibri"/>
      <family val="2"/>
      <scheme val="minor"/>
    </font>
    <font>
      <i/>
      <sz val="11"/>
      <color rgb="FF000000"/>
      <name val="Calibri"/>
      <family val="2"/>
      <scheme val="minor"/>
    </font>
    <font>
      <i/>
      <sz val="11"/>
      <color rgb="FFFF0000"/>
      <name val="Calibri"/>
      <family val="2"/>
    </font>
    <font>
      <u val="single"/>
      <sz val="22"/>
      <color rgb="FF000000"/>
      <name val="Calibri"/>
      <family val="2"/>
      <scheme val="minor"/>
    </font>
    <font>
      <sz val="11"/>
      <color theme="0" tint="-0.04303999990224838"/>
      <name val="Calibri"/>
      <family val="2"/>
    </font>
    <font>
      <b/>
      <sz val="11"/>
      <color theme="0"/>
      <name val="Calibri"/>
      <family val="2"/>
    </font>
    <font>
      <sz val="11"/>
      <color rgb="FFF2F2F2"/>
      <name val="Calibri"/>
      <family val="2"/>
    </font>
    <font>
      <u val="single"/>
      <sz val="14"/>
      <color rgb="FF0000FF"/>
      <name val="Calibri"/>
      <family val="2"/>
      <scheme val="minor"/>
    </font>
    <font>
      <u val="single"/>
      <sz val="11"/>
      <color rgb="FF000000"/>
      <name val="Calibri"/>
      <family val="2"/>
      <scheme val="minor"/>
    </font>
    <font>
      <u val="single"/>
      <sz val="11"/>
      <color rgb="FF0000FF"/>
      <name val="Calibri"/>
      <family val="2"/>
      <scheme val="minor"/>
    </font>
    <font>
      <b/>
      <sz val="9"/>
      <name val="Tahoma"/>
      <family val="2"/>
    </font>
    <font>
      <sz val="9"/>
      <name val="Tahoma"/>
      <family val="2"/>
    </font>
    <font>
      <sz val="7"/>
      <color rgb="FF000000"/>
      <name val="Calibri"/>
      <family val="2"/>
      <scheme val="minor"/>
    </font>
    <font>
      <b/>
      <sz val="7"/>
      <color rgb="FF000000"/>
      <name val="Calibri"/>
      <family val="2"/>
      <scheme val="minor"/>
    </font>
    <font>
      <b/>
      <sz val="14"/>
      <color rgb="FFD04B35"/>
      <name val="Calibri"/>
      <family val="2"/>
      <scheme val="minor"/>
    </font>
    <font>
      <b/>
      <i/>
      <sz val="11"/>
      <color rgb="FFFFFFFF"/>
      <name val="Calibri"/>
      <family val="2"/>
    </font>
    <font>
      <u val="single"/>
      <sz val="14"/>
      <color theme="10"/>
      <name val="Calibri"/>
      <family val="2"/>
      <scheme val="minor"/>
    </font>
    <font>
      <b/>
      <sz val="11"/>
      <color rgb="FF0000FC"/>
      <name val="Calibri"/>
      <family val="2"/>
    </font>
    <font>
      <sz val="11"/>
      <color rgb="FF0000FC"/>
      <name val="Calibri"/>
      <family val="2"/>
    </font>
    <font>
      <i/>
      <sz val="11"/>
      <color rgb="FF0000FC"/>
      <name val="Calibri"/>
      <family val="2"/>
    </font>
    <font>
      <sz val="11"/>
      <color rgb="FF0000FC"/>
      <name val="Calibri"/>
      <family val="2"/>
      <scheme val="minor"/>
    </font>
  </fonts>
  <fills count="9">
    <fill>
      <patternFill patternType="none"/>
    </fill>
    <fill>
      <patternFill patternType="gray125"/>
    </fill>
    <fill>
      <patternFill patternType="solid">
        <fgColor rgb="FFC6EFCE"/>
        <bgColor indexed="64"/>
      </patternFill>
    </fill>
    <fill>
      <patternFill patternType="solid">
        <fgColor rgb="FFFFFFFF"/>
        <bgColor indexed="64"/>
      </patternFill>
    </fill>
    <fill>
      <patternFill patternType="solid">
        <fgColor rgb="FF89E0FF"/>
        <bgColor indexed="64"/>
      </patternFill>
    </fill>
    <fill>
      <patternFill patternType="solid">
        <fgColor rgb="FF000000"/>
        <bgColor indexed="64"/>
      </patternFill>
    </fill>
    <fill>
      <patternFill patternType="solid">
        <fgColor rgb="FFF2F2F2"/>
        <bgColor indexed="64"/>
      </patternFill>
    </fill>
    <fill>
      <patternFill patternType="solid">
        <fgColor rgb="FFD0F9F2"/>
        <bgColor indexed="64"/>
      </patternFill>
    </fill>
    <fill>
      <patternFill patternType="solid">
        <fgColor rgb="FFECEDF0"/>
        <bgColor indexed="64"/>
      </patternFill>
    </fill>
  </fills>
  <borders count="36">
    <border>
      <left/>
      <right/>
      <top/>
      <bottom/>
      <diagonal/>
    </border>
    <border>
      <left/>
      <right style="thin">
        <color auto="1"/>
      </right>
      <top/>
      <bottom style="thin">
        <color auto="1"/>
      </bottom>
    </border>
    <border>
      <left/>
      <right/>
      <top/>
      <bottom style="thin">
        <color auto="1"/>
      </bottom>
    </border>
    <border>
      <left style="thin">
        <color auto="1"/>
      </left>
      <right/>
      <top/>
      <bottom style="thin">
        <color auto="1"/>
      </bottom>
    </border>
    <border>
      <left/>
      <right style="thin">
        <color auto="1"/>
      </right>
      <top/>
      <bottom/>
    </border>
    <border>
      <left style="thin">
        <color auto="1"/>
      </left>
      <right/>
      <top/>
      <bottom/>
    </border>
    <border>
      <left/>
      <right style="thin">
        <color auto="1"/>
      </right>
      <top style="thin">
        <color auto="1"/>
      </top>
      <bottom/>
    </border>
    <border>
      <left/>
      <right/>
      <top style="thin">
        <color auto="1"/>
      </top>
      <bottom/>
    </border>
    <border>
      <left style="thin">
        <color auto="1"/>
      </left>
      <right/>
      <top style="thin">
        <color auto="1"/>
      </top>
      <bottom/>
    </border>
    <border>
      <left/>
      <right/>
      <top style="thin">
        <color auto="1"/>
      </top>
      <bottom style="thin">
        <color auto="1"/>
      </bottom>
    </border>
    <border>
      <left/>
      <right style="thin">
        <color rgb="FF000000"/>
      </right>
      <top/>
      <bottom/>
    </border>
    <border>
      <left style="thin">
        <color rgb="FF000000"/>
      </left>
      <right/>
      <top/>
      <bottom/>
    </border>
    <border>
      <left/>
      <right/>
      <top style="thin">
        <color rgb="FF000000"/>
      </top>
      <bottom/>
    </border>
    <border>
      <left/>
      <right/>
      <top/>
      <bottom style="thin">
        <color rgb="FF000000"/>
      </bottom>
    </border>
    <border>
      <left/>
      <right style="thin">
        <color rgb="FF000000"/>
      </right>
      <top style="thin">
        <color rgb="FF000000"/>
      </top>
      <bottom/>
    </border>
    <border>
      <left style="thin">
        <color rgb="FF000000"/>
      </left>
      <right/>
      <top style="thin">
        <color rgb="FF000000"/>
      </top>
      <bottom/>
    </border>
    <border>
      <left/>
      <right/>
      <top style="thin">
        <color rgb="FF000000"/>
      </top>
      <bottom style="thin">
        <color rgb="FF000000"/>
      </bottom>
    </border>
    <border>
      <left style="thin">
        <color auto="1"/>
      </left>
      <right style="thin">
        <color auto="1"/>
      </right>
      <top style="thin">
        <color auto="1"/>
      </top>
      <bottom/>
    </border>
    <border>
      <left style="thin">
        <color auto="1"/>
      </left>
      <right style="thin">
        <color auto="1"/>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auto="1"/>
      </left>
      <right style="thin">
        <color auto="1"/>
      </right>
      <top/>
      <bottom style="thin">
        <color auto="1"/>
      </bottom>
    </border>
    <border>
      <left/>
      <right style="thick">
        <color auto="1"/>
      </right>
      <top/>
      <bottom/>
    </border>
    <border>
      <left/>
      <right style="thick">
        <color auto="1"/>
      </right>
      <top/>
      <bottom style="thin">
        <color rgb="FF000000"/>
      </bottom>
    </border>
    <border>
      <left/>
      <right style="thick">
        <color auto="1"/>
      </right>
      <top/>
      <bottom style="thin">
        <color auto="1"/>
      </bottom>
    </border>
    <border>
      <left/>
      <right style="thick">
        <color auto="1"/>
      </right>
      <top style="thin">
        <color rgb="FF000000"/>
      </top>
      <bottom style="thin">
        <color rgb="FF000000"/>
      </bottom>
    </border>
    <border>
      <left/>
      <right style="thick">
        <color auto="1"/>
      </right>
      <top style="thin">
        <color rgb="FF000000"/>
      </top>
      <bottom/>
    </border>
    <border>
      <left style="thin">
        <color rgb="FF000000"/>
      </left>
      <right/>
      <top/>
      <bottom style="thin">
        <color auto="1"/>
      </bottom>
    </border>
    <border>
      <left/>
      <right style="thin">
        <color rgb="FF000000"/>
      </right>
      <top/>
      <bottom style="thin">
        <color auto="1"/>
      </bottom>
    </border>
    <border>
      <left/>
      <right style="thick">
        <color auto="1"/>
      </right>
      <top style="thin">
        <color auto="1"/>
      </top>
      <bottom/>
    </border>
    <border>
      <left style="thin">
        <color auto="1"/>
      </left>
      <right style="thin">
        <color auto="1"/>
      </right>
      <top style="thin">
        <color auto="1"/>
      </top>
      <bottom style="thin">
        <color auto="1"/>
      </bottom>
    </border>
    <border>
      <left style="thin">
        <color auto="1"/>
      </left>
      <right style="thin">
        <color auto="1"/>
      </right>
      <top/>
      <bottom style="thin">
        <color rgb="FF000000"/>
      </bottom>
    </border>
    <border>
      <left style="thin">
        <color rgb="FF000000"/>
      </left>
      <right style="thin">
        <color auto="1"/>
      </right>
      <top/>
      <bottom style="thin">
        <color rgb="FF000000"/>
      </bottom>
    </border>
    <border>
      <left/>
      <right style="thin">
        <color rgb="FF000000"/>
      </right>
      <top/>
      <bottom style="thin">
        <color rgb="FF000000"/>
      </bottom>
    </border>
    <border>
      <left style="thin">
        <color auto="1"/>
      </left>
      <right style="thin">
        <color rgb="FF000000"/>
      </right>
      <top/>
      <bottom style="thin">
        <color rgb="FF000000"/>
      </bottom>
    </border>
    <border>
      <left/>
      <right style="thick">
        <color auto="1"/>
      </right>
      <top style="thin">
        <color auto="1"/>
      </top>
      <bottom style="thin">
        <color auto="1"/>
      </bottom>
    </border>
  </borders>
  <cellStyleXfs count="37">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0" fillId="0" borderId="0">
      <alignment/>
      <protection/>
    </xf>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44" fontId="2" fillId="0" borderId="0">
      <alignment/>
      <protection/>
    </xf>
    <xf numFmtId="44" fontId="0" fillId="0" borderId="0">
      <alignment/>
      <protection/>
    </xf>
    <xf numFmtId="44" fontId="2" fillId="0" borderId="0">
      <alignment/>
      <protection/>
    </xf>
    <xf numFmtId="44" fontId="2" fillId="0" borderId="0">
      <alignment/>
      <protection/>
    </xf>
    <xf numFmtId="0" fontId="14" fillId="2" borderId="0">
      <alignment/>
      <protection/>
    </xf>
    <xf numFmtId="0" fontId="4" fillId="0" borderId="0">
      <alignment/>
      <protection/>
    </xf>
    <xf numFmtId="0" fontId="11" fillId="0" borderId="0">
      <alignment vertical="top"/>
      <protection locked="0"/>
    </xf>
    <xf numFmtId="0" fontId="2" fillId="0" borderId="0">
      <alignment/>
      <protection/>
    </xf>
    <xf numFmtId="0" fontId="2" fillId="0" borderId="0">
      <alignment/>
      <protection/>
    </xf>
    <xf numFmtId="0" fontId="2" fillId="0" borderId="0">
      <alignment/>
      <protection/>
    </xf>
    <xf numFmtId="0" fontId="2" fillId="0" borderId="0">
      <alignment/>
      <protection/>
    </xf>
    <xf numFmtId="0" fontId="2" fillId="0" borderId="0">
      <alignment/>
      <protection/>
    </xf>
    <xf numFmtId="0" fontId="2" fillId="0" borderId="0">
      <alignment/>
      <protection/>
    </xf>
    <xf numFmtId="0" fontId="0" fillId="0" borderId="0">
      <alignment/>
      <protection/>
    </xf>
    <xf numFmtId="9" fontId="2" fillId="0" borderId="0">
      <alignment/>
      <protection/>
    </xf>
    <xf numFmtId="9" fontId="2" fillId="0" borderId="0">
      <alignment/>
      <protection/>
    </xf>
    <xf numFmtId="9" fontId="2" fillId="0" borderId="0">
      <alignment/>
      <protection/>
    </xf>
  </cellStyleXfs>
  <cellXfs count="1093">
    <xf numFmtId="0" fontId="0" fillId="0" borderId="0" xfId="0" applyNumberFormat="1" applyFont="1" applyFill="1" applyBorder="1"/>
    <xf numFmtId="0" fontId="15" fillId="3" borderId="0" xfId="30" applyNumberFormat="1" applyFont="1" applyFill="1" applyBorder="1">
      <alignment/>
      <protection/>
    </xf>
    <xf numFmtId="0" fontId="2" fillId="0" borderId="0" xfId="30" applyNumberFormat="1" applyFont="1" applyFill="1" applyBorder="1">
      <alignment/>
      <protection/>
    </xf>
    <xf numFmtId="0" fontId="2" fillId="3" borderId="0" xfId="30" applyNumberFormat="1" applyFont="1" applyFill="1" applyBorder="1">
      <alignment/>
      <protection/>
    </xf>
    <xf numFmtId="171" fontId="2" fillId="3" borderId="0" xfId="30" applyNumberFormat="1" applyFont="1" applyFill="1" applyAlignment="1" quotePrefix="1">
      <alignment horizontal="left" vertical="top" wrapText="1"/>
      <protection/>
    </xf>
    <xf numFmtId="0" fontId="2" fillId="3" borderId="1" xfId="30" applyNumberFormat="1" applyFont="1" applyFill="1" applyBorder="1" applyAlignment="1">
      <alignment vertical="top" wrapText="1"/>
      <protection/>
    </xf>
    <xf numFmtId="0" fontId="2" fillId="3" borderId="2" xfId="30" applyNumberFormat="1" applyFont="1" applyFill="1" applyBorder="1" applyAlignment="1">
      <alignment vertical="top" wrapText="1"/>
      <protection/>
    </xf>
    <xf numFmtId="0" fontId="2" fillId="3" borderId="3" xfId="30" applyNumberFormat="1" applyFont="1" applyFill="1" applyBorder="1" applyAlignment="1">
      <alignment vertical="top" wrapText="1"/>
      <protection/>
    </xf>
    <xf numFmtId="0" fontId="2" fillId="3" borderId="4" xfId="30" applyNumberFormat="1" applyFont="1" applyFill="1" applyBorder="1" applyAlignment="1">
      <alignment vertical="top" wrapText="1"/>
      <protection/>
    </xf>
    <xf numFmtId="0" fontId="2" fillId="3" borderId="0" xfId="30" applyNumberFormat="1" applyFont="1" applyFill="1" applyBorder="1" applyAlignment="1">
      <alignment vertical="top" wrapText="1"/>
      <protection/>
    </xf>
    <xf numFmtId="0" fontId="2" fillId="3" borderId="5" xfId="30" applyNumberFormat="1" applyFont="1" applyFill="1" applyBorder="1" applyAlignment="1">
      <alignment vertical="top" wrapText="1"/>
      <protection/>
    </xf>
    <xf numFmtId="0" fontId="2" fillId="3" borderId="6" xfId="30" applyNumberFormat="1" applyFont="1" applyFill="1" applyBorder="1" applyAlignment="1">
      <alignment vertical="top" wrapText="1"/>
      <protection/>
    </xf>
    <xf numFmtId="0" fontId="2" fillId="3" borderId="7" xfId="30" applyNumberFormat="1" applyFont="1" applyFill="1" applyBorder="1" applyAlignment="1">
      <alignment vertical="top" wrapText="1"/>
      <protection/>
    </xf>
    <xf numFmtId="0" fontId="45" fillId="3" borderId="8" xfId="30" applyNumberFormat="1" applyFont="1" applyFill="1" applyBorder="1" applyAlignment="1">
      <alignment vertical="top" wrapText="1"/>
      <protection/>
    </xf>
    <xf numFmtId="0" fontId="10" fillId="3" borderId="0" xfId="30" applyNumberFormat="1" applyFont="1" applyFill="1" applyBorder="1" applyAlignment="1">
      <alignment horizontal="center"/>
      <protection/>
    </xf>
    <xf numFmtId="0" fontId="2" fillId="0" borderId="0" xfId="30" applyNumberFormat="1" applyFont="1" applyFill="1" applyBorder="1">
      <alignment/>
      <protection/>
    </xf>
    <xf numFmtId="0" fontId="2" fillId="0" borderId="0" xfId="30" applyNumberFormat="1" applyFont="1" applyFill="1" applyBorder="1">
      <alignment/>
      <protection/>
    </xf>
    <xf numFmtId="0" fontId="2" fillId="0" borderId="0" xfId="30" applyNumberFormat="1" applyFont="1" applyFill="1" applyBorder="1">
      <alignment/>
      <protection/>
    </xf>
    <xf numFmtId="167" fontId="19" fillId="4" borderId="0" xfId="16" applyNumberFormat="1" applyFont="1" applyFill="1" applyBorder="1" applyAlignment="1">
      <alignment horizontal="right" indent="1"/>
      <protection/>
    </xf>
    <xf numFmtId="167" fontId="19" fillId="4" borderId="0" xfId="16" applyNumberFormat="1" applyFont="1" applyFill="1" applyBorder="1">
      <alignment/>
      <protection/>
    </xf>
    <xf numFmtId="167" fontId="5" fillId="3" borderId="0" xfId="0" applyNumberFormat="1" applyFont="1" applyFill="1" applyBorder="1" applyAlignment="1">
      <alignment horizontal="left"/>
    </xf>
    <xf numFmtId="167" fontId="19" fillId="3" borderId="0" xfId="16" applyNumberFormat="1" applyFont="1" applyFill="1" applyBorder="1">
      <alignment/>
      <protection/>
    </xf>
    <xf numFmtId="0" fontId="15" fillId="0" borderId="0" xfId="30" applyNumberFormat="1" applyFont="1" applyFill="1" applyBorder="1">
      <alignment/>
      <protection/>
    </xf>
    <xf numFmtId="166" fontId="20" fillId="2" borderId="0" xfId="24" applyNumberFormat="1" applyFont="1" applyFill="1" applyBorder="1">
      <alignment/>
      <protection/>
    </xf>
    <xf numFmtId="166" fontId="20" fillId="2" borderId="0" xfId="24" applyNumberFormat="1" applyFont="1" applyFill="1" applyBorder="1" applyAlignment="1">
      <alignment horizontal="right"/>
      <protection/>
    </xf>
    <xf numFmtId="166" fontId="25" fillId="3" borderId="7" xfId="0" applyNumberFormat="1" applyFont="1" applyFill="1" applyBorder="1"/>
    <xf numFmtId="166" fontId="25" fillId="4" borderId="7" xfId="0" applyNumberFormat="1" applyFont="1" applyFill="1" applyBorder="1"/>
    <xf numFmtId="1" fontId="25" fillId="3" borderId="0" xfId="0" applyNumberFormat="1" applyFont="1" applyFill="1" applyBorder="1" applyAlignment="1">
      <alignment horizontal="center"/>
    </xf>
    <xf numFmtId="0" fontId="29" fillId="3" borderId="0" xfId="0" applyNumberFormat="1" applyFont="1" applyFill="1" applyBorder="1" applyAlignment="1">
      <alignment horizontal="center"/>
    </xf>
    <xf numFmtId="166" fontId="24" fillId="4" borderId="2" xfId="0" applyNumberFormat="1" applyFont="1" applyFill="1" applyBorder="1"/>
    <xf numFmtId="166" fontId="24" fillId="4" borderId="0" xfId="0" applyNumberFormat="1" applyFont="1" applyFill="1" applyBorder="1" applyAlignment="1">
      <alignment horizontal="center"/>
    </xf>
    <xf numFmtId="166" fontId="25" fillId="3" borderId="9" xfId="0" applyNumberFormat="1" applyFont="1" applyFill="1" applyBorder="1"/>
    <xf numFmtId="166" fontId="25" fillId="4" borderId="9" xfId="0" applyNumberFormat="1" applyFont="1" applyFill="1" applyBorder="1"/>
    <xf numFmtId="167" fontId="25" fillId="4" borderId="0" xfId="0" applyNumberFormat="1" applyFont="1" applyFill="1" applyBorder="1"/>
    <xf numFmtId="169" fontId="25" fillId="4" borderId="0" xfId="0" applyNumberFormat="1" applyFont="1" applyFill="1" applyBorder="1"/>
    <xf numFmtId="173" fontId="25" fillId="4" borderId="0" xfId="16" applyNumberFormat="1" applyFont="1" applyFill="1" applyBorder="1">
      <alignment/>
      <protection/>
    </xf>
    <xf numFmtId="167" fontId="22" fillId="4" borderId="0" xfId="16" applyNumberFormat="1" applyFont="1" applyFill="1" applyBorder="1">
      <alignment/>
      <protection/>
    </xf>
    <xf numFmtId="178" fontId="25" fillId="4" borderId="0" xfId="0" applyNumberFormat="1" applyFont="1" applyFill="1" applyBorder="1"/>
    <xf numFmtId="170" fontId="24" fillId="4" borderId="0" xfId="0" applyNumberFormat="1" applyFont="1" applyFill="1" applyBorder="1" applyAlignment="1">
      <alignment horizontal="right"/>
    </xf>
    <xf numFmtId="17" fontId="20" fillId="3" borderId="0" xfId="0" applyNumberFormat="1" applyFont="1" applyFill="1" applyBorder="1" applyAlignment="1">
      <alignment horizontal="center"/>
    </xf>
    <xf numFmtId="0" fontId="7" fillId="0" borderId="0" xfId="0" applyNumberFormat="1" applyFont="1" applyFill="1" applyBorder="1"/>
    <xf numFmtId="167" fontId="7" fillId="0" borderId="0" xfId="0" applyNumberFormat="1" applyFont="1" applyFill="1" applyBorder="1"/>
    <xf numFmtId="167" fontId="0" fillId="0" borderId="0" xfId="0" applyNumberFormat="1" applyFont="1" applyFill="1" applyBorder="1"/>
    <xf numFmtId="164" fontId="7" fillId="0" borderId="0" xfId="0" applyNumberFormat="1" applyFont="1" applyFill="1" applyBorder="1"/>
    <xf numFmtId="166" fontId="7" fillId="0" borderId="0" xfId="0" applyNumberFormat="1" applyFont="1" applyFill="1" applyBorder="1"/>
    <xf numFmtId="166" fontId="19" fillId="0" borderId="0" xfId="0" applyNumberFormat="1" applyFont="1" applyFill="1" applyBorder="1"/>
    <xf numFmtId="167" fontId="19" fillId="0" borderId="0" xfId="0" applyNumberFormat="1" applyFont="1" applyFill="1" applyBorder="1"/>
    <xf numFmtId="178" fontId="7" fillId="0" borderId="0" xfId="0" applyNumberFormat="1" applyFont="1" applyFill="1" applyBorder="1"/>
    <xf numFmtId="169" fontId="7" fillId="0" borderId="0" xfId="0" applyNumberFormat="1" applyFont="1" applyFill="1" applyBorder="1"/>
    <xf numFmtId="173" fontId="7" fillId="0" borderId="0" xfId="0" applyNumberFormat="1" applyFont="1" applyFill="1" applyBorder="1"/>
    <xf numFmtId="44" fontId="7" fillId="0" borderId="0" xfId="0" applyNumberFormat="1" applyFont="1" applyFill="1" applyBorder="1"/>
    <xf numFmtId="170" fontId="0" fillId="0" borderId="0" xfId="0" applyNumberFormat="1" applyFont="1" applyFill="1" applyBorder="1"/>
    <xf numFmtId="166" fontId="22" fillId="0" borderId="0" xfId="0" applyNumberFormat="1" applyFont="1" applyFill="1" applyBorder="1"/>
    <xf numFmtId="169" fontId="22" fillId="0" borderId="0" xfId="0" applyNumberFormat="1" applyFont="1" applyFill="1" applyBorder="1"/>
    <xf numFmtId="178" fontId="22" fillId="0" borderId="0" xfId="0" applyNumberFormat="1" applyFont="1" applyFill="1" applyBorder="1"/>
    <xf numFmtId="170" fontId="2" fillId="3" borderId="0" xfId="0" applyNumberFormat="1" applyFont="1" applyFill="1" applyBorder="1"/>
    <xf numFmtId="0" fontId="0" fillId="0" borderId="0" xfId="0" applyNumberFormat="1" applyFont="1" applyFill="1" applyBorder="1"/>
    <xf numFmtId="169" fontId="25" fillId="3" borderId="0" xfId="0" applyNumberFormat="1" applyFont="1" applyFill="1" applyBorder="1"/>
    <xf numFmtId="167" fontId="22" fillId="3" borderId="0" xfId="16" applyNumberFormat="1" applyFont="1" applyFill="1" applyBorder="1">
      <alignment/>
      <protection/>
    </xf>
    <xf numFmtId="178" fontId="25" fillId="3" borderId="0" xfId="0" applyNumberFormat="1" applyFont="1" applyFill="1" applyBorder="1"/>
    <xf numFmtId="167" fontId="0" fillId="4" borderId="2" xfId="0" applyNumberFormat="1" applyFont="1" applyFill="1" applyBorder="1"/>
    <xf numFmtId="167" fontId="0" fillId="3" borderId="2" xfId="0" applyNumberFormat="1" applyFont="1" applyFill="1" applyBorder="1"/>
    <xf numFmtId="178" fontId="13" fillId="3" borderId="0" xfId="0" applyNumberFormat="1" applyFont="1" applyFill="1" applyBorder="1"/>
    <xf numFmtId="178" fontId="13" fillId="4" borderId="0" xfId="0" applyNumberFormat="1" applyFont="1" applyFill="1" applyBorder="1"/>
    <xf numFmtId="166" fontId="27" fillId="4" borderId="7" xfId="0" applyNumberFormat="1" applyFont="1" applyFill="1" applyBorder="1"/>
    <xf numFmtId="166" fontId="27" fillId="3" borderId="0" xfId="33" applyNumberFormat="1" applyFont="1" applyFill="1" applyBorder="1" applyAlignment="1">
      <alignment horizontal="left" indent="1"/>
      <protection/>
    </xf>
    <xf numFmtId="166" fontId="0" fillId="3" borderId="7" xfId="33" applyNumberFormat="1" applyFont="1" applyFill="1" applyBorder="1" applyAlignment="1">
      <alignment horizontal="left" indent="2"/>
      <protection/>
    </xf>
    <xf numFmtId="166" fontId="0" fillId="3" borderId="7" xfId="33" applyNumberFormat="1" applyFont="1" applyFill="1" applyBorder="1" applyAlignment="1">
      <alignment horizontal="left" indent="1"/>
      <protection/>
    </xf>
    <xf numFmtId="166" fontId="7" fillId="3" borderId="7" xfId="33" applyNumberFormat="1" applyFont="1" applyFill="1" applyBorder="1">
      <alignment/>
      <protection/>
    </xf>
    <xf numFmtId="166" fontId="0" fillId="3" borderId="9" xfId="33" applyNumberFormat="1" applyFont="1" applyFill="1" applyBorder="1" applyAlignment="1">
      <alignment horizontal="left" indent="1"/>
      <protection/>
    </xf>
    <xf numFmtId="166" fontId="27" fillId="4" borderId="9" xfId="0" applyNumberFormat="1" applyFont="1" applyFill="1" applyBorder="1"/>
    <xf numFmtId="166" fontId="27" fillId="3" borderId="9" xfId="0" applyNumberFormat="1" applyFont="1" applyFill="1" applyBorder="1"/>
    <xf numFmtId="166" fontId="25" fillId="3" borderId="9" xfId="33" applyNumberFormat="1" applyFont="1" applyFill="1" applyBorder="1">
      <alignment/>
      <protection/>
    </xf>
    <xf numFmtId="166" fontId="27" fillId="3" borderId="0" xfId="33" applyNumberFormat="1" applyFont="1" applyFill="1" applyBorder="1">
      <alignment/>
      <protection/>
    </xf>
    <xf numFmtId="166" fontId="0" fillId="3" borderId="2" xfId="33" applyNumberFormat="1" applyFont="1" applyFill="1" applyBorder="1" applyAlignment="1">
      <alignment horizontal="left" indent="2"/>
      <protection/>
    </xf>
    <xf numFmtId="166" fontId="0" fillId="3" borderId="0" xfId="33" applyNumberFormat="1" applyFont="1" applyFill="1" applyBorder="1" applyAlignment="1">
      <alignment horizontal="left" indent="2"/>
      <protection/>
    </xf>
    <xf numFmtId="166" fontId="7" fillId="3" borderId="0" xfId="33" applyNumberFormat="1" applyFont="1" applyFill="1" applyBorder="1">
      <alignment/>
      <protection/>
    </xf>
    <xf numFmtId="166" fontId="7" fillId="4" borderId="0" xfId="33" applyNumberFormat="1" applyFont="1" applyFill="1" applyBorder="1">
      <alignment/>
      <protection/>
    </xf>
    <xf numFmtId="170" fontId="0" fillId="4" borderId="0" xfId="0" applyNumberFormat="1" applyFont="1" applyFill="1" applyBorder="1" applyAlignment="1">
      <alignment horizontal="right"/>
    </xf>
    <xf numFmtId="167" fontId="0" fillId="4" borderId="0" xfId="0" applyNumberFormat="1" applyFont="1" applyFill="1" applyBorder="1"/>
    <xf numFmtId="164" fontId="20" fillId="2" borderId="0" xfId="24" applyNumberFormat="1" applyFont="1" applyFill="1" applyBorder="1">
      <alignment/>
      <protection/>
    </xf>
    <xf numFmtId="167" fontId="19" fillId="4" borderId="0" xfId="0" applyNumberFormat="1" applyFont="1" applyFill="1" applyBorder="1"/>
    <xf numFmtId="178" fontId="7" fillId="4" borderId="0" xfId="0" applyNumberFormat="1" applyFont="1" applyFill="1" applyBorder="1"/>
    <xf numFmtId="173" fontId="13" fillId="4" borderId="0" xfId="16" applyNumberFormat="1" applyFont="1" applyFill="1" applyBorder="1">
      <alignment/>
      <protection/>
    </xf>
    <xf numFmtId="164" fontId="20" fillId="3" borderId="0" xfId="0" applyNumberFormat="1" applyFont="1" applyFill="1" applyBorder="1"/>
    <xf numFmtId="169" fontId="20" fillId="3" borderId="0" xfId="0" applyNumberFormat="1" applyFont="1" applyFill="1" applyBorder="1"/>
    <xf numFmtId="1" fontId="7" fillId="3" borderId="0" xfId="0" applyNumberFormat="1" applyFont="1" applyFill="1" applyBorder="1" applyAlignment="1">
      <alignment horizontal="center"/>
    </xf>
    <xf numFmtId="178" fontId="7" fillId="3" borderId="0" xfId="0" applyNumberFormat="1" applyFont="1" applyFill="1" applyBorder="1" applyAlignment="1">
      <alignment horizontal="left"/>
    </xf>
    <xf numFmtId="167" fontId="19" fillId="3" borderId="0" xfId="0" applyNumberFormat="1" applyFont="1" applyFill="1" applyBorder="1" applyAlignment="1">
      <alignment horizontal="left" indent="1"/>
    </xf>
    <xf numFmtId="167" fontId="0" fillId="3" borderId="0" xfId="0" applyNumberFormat="1" applyFont="1" applyFill="1" applyBorder="1" applyAlignment="1">
      <alignment horizontal="left" indent="1"/>
    </xf>
    <xf numFmtId="164" fontId="7" fillId="3" borderId="0" xfId="0" applyNumberFormat="1" applyFont="1" applyFill="1" applyBorder="1" applyAlignment="1">
      <alignment horizontal="left"/>
    </xf>
    <xf numFmtId="167" fontId="0" fillId="3" borderId="0" xfId="0" applyNumberFormat="1" applyFont="1" applyFill="1" applyBorder="1"/>
    <xf numFmtId="169" fontId="3" fillId="3" borderId="0" xfId="16" applyNumberFormat="1" applyFont="1" applyFill="1" applyBorder="1">
      <alignment/>
      <protection/>
    </xf>
    <xf numFmtId="167" fontId="19" fillId="3" borderId="0" xfId="0" applyNumberFormat="1" applyFont="1" applyFill="1" applyBorder="1"/>
    <xf numFmtId="170" fontId="0" fillId="3" borderId="0" xfId="0" applyNumberFormat="1" applyFont="1" applyFill="1" applyBorder="1"/>
    <xf numFmtId="0" fontId="3" fillId="3" borderId="0" xfId="0" applyNumberFormat="1" applyFont="1" applyFill="1" applyBorder="1" applyAlignment="1">
      <alignment horizontal="center"/>
    </xf>
    <xf numFmtId="169" fontId="7" fillId="3" borderId="0" xfId="0" applyNumberFormat="1" applyFont="1" applyFill="1" applyBorder="1"/>
    <xf numFmtId="178" fontId="7" fillId="3" borderId="0" xfId="0" applyNumberFormat="1" applyFont="1" applyFill="1" applyBorder="1"/>
    <xf numFmtId="0" fontId="6" fillId="3" borderId="0" xfId="0" applyNumberFormat="1" applyFont="1" applyFill="1" applyBorder="1" applyAlignment="1">
      <alignment horizontal="center"/>
    </xf>
    <xf numFmtId="167" fontId="21" fillId="5" borderId="0" xfId="0" applyNumberFormat="1" applyFont="1" applyFill="1" applyBorder="1"/>
    <xf numFmtId="166" fontId="7" fillId="3" borderId="0" xfId="0" applyNumberFormat="1" applyFont="1" applyFill="1" applyBorder="1"/>
    <xf numFmtId="167" fontId="0" fillId="3" borderId="2" xfId="0" applyNumberFormat="1" applyFont="1" applyFill="1" applyBorder="1" applyAlignment="1">
      <alignment horizontal="left" indent="1"/>
    </xf>
    <xf numFmtId="169" fontId="3" fillId="3" borderId="0" xfId="16" applyNumberFormat="1" applyFont="1" applyFill="1" applyBorder="1" applyAlignment="1">
      <alignment horizontal="left"/>
      <protection/>
    </xf>
    <xf numFmtId="44" fontId="3" fillId="3" borderId="0" xfId="16" applyNumberFormat="1" applyFont="1" applyFill="1" applyBorder="1" applyAlignment="1">
      <alignment horizontal="left"/>
      <protection/>
    </xf>
    <xf numFmtId="179" fontId="3" fillId="3" borderId="0" xfId="0" applyNumberFormat="1" applyFont="1" applyFill="1" applyBorder="1"/>
    <xf numFmtId="166" fontId="7" fillId="4" borderId="0" xfId="0" applyNumberFormat="1" applyFont="1" applyFill="1" applyBorder="1"/>
    <xf numFmtId="166" fontId="0" fillId="4" borderId="0" xfId="0" applyNumberFormat="1" applyFont="1" applyFill="1" applyBorder="1"/>
    <xf numFmtId="166" fontId="0" fillId="3" borderId="2" xfId="0" applyNumberFormat="1" applyFont="1" applyFill="1" applyBorder="1" applyAlignment="1">
      <alignment horizontal="left" indent="1"/>
    </xf>
    <xf numFmtId="166" fontId="7" fillId="3" borderId="0" xfId="0" applyNumberFormat="1" applyFont="1" applyFill="1" applyBorder="1" applyAlignment="1">
      <alignment horizontal="left"/>
    </xf>
    <xf numFmtId="166" fontId="7" fillId="3" borderId="7" xfId="0" applyNumberFormat="1" applyFont="1" applyFill="1" applyBorder="1" applyAlignment="1">
      <alignment horizontal="left"/>
    </xf>
    <xf numFmtId="166" fontId="7" fillId="4" borderId="7" xfId="0" applyNumberFormat="1" applyFont="1" applyFill="1" applyBorder="1"/>
    <xf numFmtId="166" fontId="7" fillId="3" borderId="7" xfId="0" applyNumberFormat="1" applyFont="1" applyFill="1" applyBorder="1"/>
    <xf numFmtId="166" fontId="19" fillId="3" borderId="0" xfId="0" applyNumberFormat="1" applyFont="1" applyFill="1" applyBorder="1"/>
    <xf numFmtId="166" fontId="27" fillId="3" borderId="0" xfId="0" applyNumberFormat="1" applyFont="1" applyFill="1" applyBorder="1"/>
    <xf numFmtId="166" fontId="27" fillId="3" borderId="7" xfId="0" applyNumberFormat="1" applyFont="1" applyFill="1" applyBorder="1"/>
    <xf numFmtId="166" fontId="26" fillId="3" borderId="7" xfId="0" applyNumberFormat="1" applyFont="1" applyFill="1" applyBorder="1"/>
    <xf numFmtId="166" fontId="7" fillId="4" borderId="9" xfId="0" applyNumberFormat="1" applyFont="1" applyFill="1" applyBorder="1"/>
    <xf numFmtId="166" fontId="7" fillId="3" borderId="9" xfId="0" applyNumberFormat="1" applyFont="1" applyFill="1" applyBorder="1"/>
    <xf numFmtId="166" fontId="9" fillId="3" borderId="0" xfId="0" applyNumberFormat="1" applyFont="1" applyFill="1" applyBorder="1"/>
    <xf numFmtId="166" fontId="9" fillId="4" borderId="0" xfId="0" applyNumberFormat="1" applyFont="1" applyFill="1" applyBorder="1"/>
    <xf numFmtId="166" fontId="7" fillId="3" borderId="9" xfId="0" applyNumberFormat="1" applyFont="1" applyFill="1" applyBorder="1" applyAlignment="1">
      <alignment horizontal="left"/>
    </xf>
    <xf numFmtId="166" fontId="3" fillId="3" borderId="0" xfId="0" applyNumberFormat="1" applyFont="1" applyFill="1" applyBorder="1"/>
    <xf numFmtId="166" fontId="24" fillId="4" borderId="0" xfId="0" applyNumberFormat="1" applyFont="1" applyFill="1" applyBorder="1"/>
    <xf numFmtId="166" fontId="26" fillId="4" borderId="0" xfId="0" applyNumberFormat="1" applyFont="1" applyFill="1" applyBorder="1"/>
    <xf numFmtId="166" fontId="26" fillId="3" borderId="0" xfId="0" applyNumberFormat="1" applyFont="1" applyFill="1" applyBorder="1"/>
    <xf numFmtId="166" fontId="26" fillId="4" borderId="7" xfId="0" applyNumberFormat="1" applyFont="1" applyFill="1" applyBorder="1"/>
    <xf numFmtId="166" fontId="26" fillId="3" borderId="0" xfId="0" applyNumberFormat="1" applyFont="1" applyFill="1" applyBorder="1" applyAlignment="1">
      <alignment horizontal="left"/>
    </xf>
    <xf numFmtId="166" fontId="13" fillId="4" borderId="0" xfId="0" applyNumberFormat="1" applyFont="1" applyFill="1" applyBorder="1"/>
    <xf numFmtId="166" fontId="13" fillId="3" borderId="0" xfId="0" applyNumberFormat="1" applyFont="1" applyFill="1" applyBorder="1"/>
    <xf numFmtId="168" fontId="23" fillId="3" borderId="0" xfId="25" applyNumberFormat="1" applyFont="1" applyFill="1" applyBorder="1" applyAlignment="1">
      <alignment horizontal="left"/>
      <protection/>
    </xf>
    <xf numFmtId="166" fontId="8" fillId="3" borderId="0" xfId="0" applyNumberFormat="1" applyFont="1" applyFill="1" applyBorder="1"/>
    <xf numFmtId="164" fontId="30" fillId="5" borderId="0" xfId="33" applyNumberFormat="1" applyFont="1" applyFill="1" applyBorder="1">
      <alignment/>
      <protection/>
    </xf>
    <xf numFmtId="167" fontId="21" fillId="5" borderId="0" xfId="33" applyNumberFormat="1" applyFont="1" applyFill="1" applyBorder="1">
      <alignment/>
      <protection/>
    </xf>
    <xf numFmtId="167" fontId="31" fillId="5" borderId="0" xfId="33" applyNumberFormat="1" applyFont="1" applyFill="1" applyBorder="1">
      <alignment/>
      <protection/>
    </xf>
    <xf numFmtId="164" fontId="21" fillId="5" borderId="0" xfId="33" applyNumberFormat="1" applyFont="1" applyFill="1" applyBorder="1">
      <alignment/>
      <protection/>
    </xf>
    <xf numFmtId="164" fontId="29" fillId="3" borderId="0" xfId="33" applyNumberFormat="1" applyFont="1" applyFill="1" applyBorder="1" applyAlignment="1">
      <alignment horizontal="center"/>
      <protection/>
    </xf>
    <xf numFmtId="169" fontId="25" fillId="4" borderId="0" xfId="33" applyNumberFormat="1" applyFont="1" applyFill="1" applyBorder="1">
      <alignment/>
      <protection/>
    </xf>
    <xf numFmtId="166" fontId="25" fillId="4" borderId="0" xfId="33" applyNumberFormat="1" applyFont="1" applyFill="1" applyBorder="1">
      <alignment/>
      <protection/>
    </xf>
    <xf numFmtId="166" fontId="24" fillId="4" borderId="0" xfId="33" applyNumberFormat="1" applyFont="1" applyFill="1" applyBorder="1">
      <alignment/>
      <protection/>
    </xf>
    <xf numFmtId="166" fontId="24" fillId="3" borderId="0" xfId="33" applyNumberFormat="1" applyFont="1" applyFill="1" applyBorder="1">
      <alignment/>
      <protection/>
    </xf>
    <xf numFmtId="166" fontId="25" fillId="4" borderId="7" xfId="33" applyNumberFormat="1" applyFont="1" applyFill="1" applyBorder="1">
      <alignment/>
      <protection/>
    </xf>
    <xf numFmtId="166" fontId="25" fillId="3" borderId="7" xfId="33" applyNumberFormat="1" applyFont="1" applyFill="1" applyBorder="1">
      <alignment/>
      <protection/>
    </xf>
    <xf numFmtId="167" fontId="24" fillId="4" borderId="0" xfId="33" applyNumberFormat="1" applyFont="1" applyFill="1" applyBorder="1">
      <alignment/>
      <protection/>
    </xf>
    <xf numFmtId="167" fontId="25" fillId="4" borderId="0" xfId="33" applyNumberFormat="1" applyFont="1" applyFill="1" applyBorder="1">
      <alignment/>
      <protection/>
    </xf>
    <xf numFmtId="167" fontId="25" fillId="3" borderId="0" xfId="33" applyNumberFormat="1" applyFont="1" applyFill="1" applyBorder="1">
      <alignment/>
      <protection/>
    </xf>
    <xf numFmtId="169" fontId="25" fillId="3" borderId="0" xfId="33" applyNumberFormat="1" applyFont="1" applyFill="1" applyBorder="1">
      <alignment/>
      <protection/>
    </xf>
    <xf numFmtId="167" fontId="25" fillId="4" borderId="0" xfId="33" applyNumberFormat="1" applyFont="1" applyFill="1" applyBorder="1" applyAlignment="1">
      <alignment horizontal="center"/>
      <protection/>
    </xf>
    <xf numFmtId="167" fontId="25" fillId="3" borderId="0" xfId="33" applyNumberFormat="1" applyFont="1" applyFill="1" applyBorder="1" applyAlignment="1">
      <alignment horizontal="center"/>
      <protection/>
    </xf>
    <xf numFmtId="167" fontId="24" fillId="3" borderId="0" xfId="33" applyNumberFormat="1" applyFont="1" applyFill="1" applyBorder="1" applyAlignment="1">
      <alignment horizontal="center"/>
      <protection/>
    </xf>
    <xf numFmtId="167" fontId="24" fillId="4" borderId="0" xfId="33" applyNumberFormat="1" applyFont="1" applyFill="1" applyBorder="1" applyAlignment="1">
      <alignment horizontal="center"/>
      <protection/>
    </xf>
    <xf numFmtId="178" fontId="24" fillId="4" borderId="0" xfId="33" applyNumberFormat="1" applyFont="1" applyFill="1" applyBorder="1" applyAlignment="1">
      <alignment horizontal="right"/>
      <protection/>
    </xf>
    <xf numFmtId="178" fontId="24" fillId="3" borderId="0" xfId="33" applyNumberFormat="1" applyFont="1" applyFill="1" applyBorder="1" applyAlignment="1">
      <alignment horizontal="right"/>
      <protection/>
    </xf>
    <xf numFmtId="170" fontId="24" fillId="4" borderId="0" xfId="33" applyNumberFormat="1" applyFont="1" applyFill="1" applyBorder="1" applyAlignment="1">
      <alignment horizontal="right"/>
      <protection/>
    </xf>
    <xf numFmtId="170" fontId="24" fillId="3" borderId="0" xfId="33" applyNumberFormat="1" applyFont="1" applyFill="1" applyBorder="1" applyAlignment="1">
      <alignment horizontal="right"/>
      <protection/>
    </xf>
    <xf numFmtId="170" fontId="24" fillId="3" borderId="0" xfId="33" applyNumberFormat="1" applyFont="1" applyFill="1" applyBorder="1">
      <alignment/>
      <protection/>
    </xf>
    <xf numFmtId="166" fontId="25" fillId="4" borderId="0" xfId="0" applyNumberFormat="1" applyFont="1" applyFill="1" applyBorder="1"/>
    <xf numFmtId="17" fontId="8" fillId="3" borderId="0" xfId="0" applyNumberFormat="1" applyFont="1" applyFill="1" applyBorder="1" applyAlignment="1">
      <alignment horizontal="center"/>
    </xf>
    <xf numFmtId="167" fontId="9" fillId="4" borderId="0" xfId="0" applyNumberFormat="1" applyFont="1" applyFill="1" applyBorder="1"/>
    <xf numFmtId="167" fontId="7" fillId="3" borderId="0" xfId="0" applyNumberFormat="1" applyFont="1" applyFill="1" applyBorder="1"/>
    <xf numFmtId="167" fontId="7" fillId="4" borderId="0" xfId="0" applyNumberFormat="1" applyFont="1" applyFill="1" applyBorder="1"/>
    <xf numFmtId="167" fontId="13" fillId="4" borderId="0" xfId="0" applyNumberFormat="1" applyFont="1" applyFill="1" applyBorder="1"/>
    <xf numFmtId="178" fontId="20" fillId="3" borderId="0" xfId="0" applyNumberFormat="1" applyFont="1" applyFill="1" applyBorder="1"/>
    <xf numFmtId="166" fontId="34" fillId="3" borderId="0" xfId="0" applyNumberFormat="1" applyFont="1" applyFill="1" applyBorder="1" applyAlignment="1">
      <alignment horizontal="left" indent="2"/>
    </xf>
    <xf numFmtId="166" fontId="22" fillId="4" borderId="0" xfId="0" applyNumberFormat="1" applyFont="1" applyFill="1" applyBorder="1"/>
    <xf numFmtId="166" fontId="22" fillId="3" borderId="0" xfId="0" applyNumberFormat="1" applyFont="1" applyFill="1" applyBorder="1"/>
    <xf numFmtId="166" fontId="34" fillId="3" borderId="0" xfId="0" applyNumberFormat="1" applyFont="1" applyFill="1" applyBorder="1"/>
    <xf numFmtId="169" fontId="34" fillId="3" borderId="0" xfId="0" applyNumberFormat="1" applyFont="1" applyFill="1" applyBorder="1" applyAlignment="1">
      <alignment horizontal="left" indent="1"/>
    </xf>
    <xf numFmtId="169" fontId="22" fillId="4" borderId="0" xfId="0" applyNumberFormat="1" applyFont="1" applyFill="1" applyBorder="1"/>
    <xf numFmtId="169" fontId="22" fillId="3" borderId="0" xfId="0" applyNumberFormat="1" applyFont="1" applyFill="1" applyBorder="1"/>
    <xf numFmtId="169" fontId="34" fillId="3" borderId="0" xfId="0" applyNumberFormat="1" applyFont="1" applyFill="1" applyBorder="1"/>
    <xf numFmtId="169" fontId="22" fillId="4" borderId="0" xfId="0" applyNumberFormat="1" applyFont="1" applyFill="1" applyBorder="1" applyAlignment="1">
      <alignment horizontal="right"/>
    </xf>
    <xf numFmtId="178" fontId="22" fillId="4" borderId="0" xfId="0" applyNumberFormat="1" applyFont="1" applyFill="1" applyBorder="1"/>
    <xf numFmtId="178" fontId="22" fillId="3" borderId="0" xfId="0" applyNumberFormat="1" applyFont="1" applyFill="1" applyBorder="1"/>
    <xf numFmtId="178" fontId="22" fillId="4" borderId="0" xfId="0" applyNumberFormat="1" applyFont="1" applyFill="1" applyBorder="1" applyAlignment="1">
      <alignment horizontal="right"/>
    </xf>
    <xf numFmtId="166" fontId="7" fillId="3" borderId="0" xfId="33" applyNumberFormat="1" applyFont="1" applyFill="1" applyBorder="1" applyAlignment="1">
      <alignment horizontal="left"/>
      <protection/>
    </xf>
    <xf numFmtId="173" fontId="20" fillId="3" borderId="0" xfId="16" applyNumberFormat="1" applyFont="1" applyFill="1" applyBorder="1">
      <alignment/>
      <protection/>
    </xf>
    <xf numFmtId="166" fontId="24" fillId="3" borderId="0" xfId="0" applyNumberFormat="1" applyFont="1" applyFill="1" applyBorder="1"/>
    <xf numFmtId="166" fontId="24" fillId="3" borderId="2" xfId="0" applyNumberFormat="1" applyFont="1" applyFill="1" applyBorder="1"/>
    <xf numFmtId="166" fontId="0" fillId="3" borderId="0" xfId="0" applyNumberFormat="1" applyFont="1" applyFill="1" applyBorder="1" applyAlignment="1">
      <alignment horizontal="left"/>
    </xf>
    <xf numFmtId="166" fontId="22" fillId="3" borderId="0" xfId="0" applyNumberFormat="1" applyFont="1" applyFill="1" applyBorder="1" applyAlignment="1">
      <alignment horizontal="left" indent="3"/>
    </xf>
    <xf numFmtId="169" fontId="22" fillId="3" borderId="0" xfId="0" applyNumberFormat="1" applyFont="1" applyFill="1" applyBorder="1" applyAlignment="1">
      <alignment horizontal="left" indent="3"/>
    </xf>
    <xf numFmtId="178" fontId="22" fillId="3" borderId="0" xfId="0" applyNumberFormat="1" applyFont="1" applyFill="1" applyBorder="1" applyAlignment="1">
      <alignment horizontal="left" indent="3"/>
    </xf>
    <xf numFmtId="167" fontId="9" fillId="3" borderId="0" xfId="0" applyNumberFormat="1" applyFont="1" applyFill="1" applyBorder="1"/>
    <xf numFmtId="167" fontId="13" fillId="3" borderId="0" xfId="0" applyNumberFormat="1" applyFont="1" applyFill="1" applyBorder="1"/>
    <xf numFmtId="173" fontId="13" fillId="3" borderId="0" xfId="16" applyNumberFormat="1" applyFont="1" applyFill="1" applyBorder="1">
      <alignment/>
      <protection/>
    </xf>
    <xf numFmtId="166" fontId="25" fillId="3" borderId="0" xfId="0" applyNumberFormat="1" applyFont="1" applyFill="1" applyBorder="1"/>
    <xf numFmtId="17" fontId="33" fillId="3" borderId="0" xfId="33" applyNumberFormat="1" applyFont="1" applyFill="1" applyBorder="1" applyAlignment="1">
      <alignment horizontal="center"/>
      <protection/>
    </xf>
    <xf numFmtId="167" fontId="24" fillId="3" borderId="0" xfId="33" applyNumberFormat="1" applyFont="1" applyFill="1" applyBorder="1" applyAlignment="1">
      <alignment horizontal="right"/>
      <protection/>
    </xf>
    <xf numFmtId="166" fontId="25" fillId="3" borderId="9" xfId="0" applyNumberFormat="1" applyFont="1" applyFill="1" applyBorder="1" applyAlignment="1">
      <alignment horizontal="left" indent="3"/>
    </xf>
    <xf numFmtId="17" fontId="2" fillId="3" borderId="0" xfId="0" applyNumberFormat="1" applyFont="1" applyFill="1" applyBorder="1" applyAlignment="1">
      <alignment horizontal="center"/>
    </xf>
    <xf numFmtId="172" fontId="0" fillId="3" borderId="0" xfId="0" applyNumberFormat="1" applyFont="1" applyFill="1" applyBorder="1"/>
    <xf numFmtId="168" fontId="36" fillId="3" borderId="0" xfId="25" applyNumberFormat="1" applyFont="1" applyFill="1" applyBorder="1" applyAlignment="1">
      <alignment horizontal="left"/>
      <protection/>
    </xf>
    <xf numFmtId="164" fontId="29" fillId="3" borderId="0" xfId="33" applyNumberFormat="1" applyFont="1" applyFill="1" applyBorder="1" applyAlignment="1">
      <alignment horizontal="left"/>
      <protection/>
    </xf>
    <xf numFmtId="164" fontId="33" fillId="3" borderId="0" xfId="33" applyNumberFormat="1" applyFont="1" applyFill="1" applyBorder="1" applyAlignment="1">
      <alignment horizontal="center"/>
      <protection/>
    </xf>
    <xf numFmtId="164" fontId="24" fillId="3" borderId="0" xfId="33" applyNumberFormat="1" applyFont="1" applyFill="1" applyBorder="1" applyAlignment="1">
      <alignment horizontal="left" indent="1"/>
      <protection/>
    </xf>
    <xf numFmtId="164" fontId="24" fillId="3" borderId="0" xfId="33" applyNumberFormat="1" applyFont="1" applyFill="1" applyBorder="1" applyAlignment="1">
      <alignment horizontal="left" indent="3"/>
      <protection/>
    </xf>
    <xf numFmtId="164" fontId="25" fillId="3" borderId="7" xfId="33" applyNumberFormat="1" applyFont="1" applyFill="1" applyBorder="1" applyAlignment="1">
      <alignment horizontal="left"/>
      <protection/>
    </xf>
    <xf numFmtId="164" fontId="25" fillId="3" borderId="7" xfId="33" applyNumberFormat="1" applyFont="1" applyFill="1" applyBorder="1" applyAlignment="1">
      <alignment horizontal="left" indent="3"/>
      <protection/>
    </xf>
    <xf numFmtId="166" fontId="25" fillId="3" borderId="0" xfId="33" applyNumberFormat="1" applyFont="1" applyFill="1" applyBorder="1" applyAlignment="1">
      <alignment horizontal="left"/>
      <protection/>
    </xf>
    <xf numFmtId="166" fontId="25" fillId="3" borderId="0" xfId="33" applyNumberFormat="1" applyFont="1" applyFill="1" applyBorder="1" applyAlignment="1">
      <alignment horizontal="left" indent="3"/>
      <protection/>
    </xf>
    <xf numFmtId="166" fontId="25" fillId="3" borderId="7" xfId="33" applyNumberFormat="1" applyFont="1" applyFill="1" applyBorder="1" applyAlignment="1">
      <alignment horizontal="left"/>
      <protection/>
    </xf>
    <xf numFmtId="166" fontId="24" fillId="3" borderId="0" xfId="33" applyNumberFormat="1" applyFont="1" applyFill="1" applyBorder="1" applyAlignment="1">
      <alignment horizontal="left"/>
      <protection/>
    </xf>
    <xf numFmtId="166" fontId="24" fillId="3" borderId="0" xfId="33" applyNumberFormat="1" applyFont="1" applyFill="1" applyBorder="1" applyAlignment="1">
      <alignment horizontal="left" indent="3"/>
      <protection/>
    </xf>
    <xf numFmtId="167" fontId="25" fillId="3" borderId="0" xfId="33" applyNumberFormat="1" applyFont="1" applyFill="1" applyBorder="1" applyAlignment="1">
      <alignment horizontal="left"/>
      <protection/>
    </xf>
    <xf numFmtId="167" fontId="25" fillId="3" borderId="0" xfId="33" applyNumberFormat="1" applyFont="1" applyFill="1" applyBorder="1" applyAlignment="1">
      <alignment horizontal="left" indent="3"/>
      <protection/>
    </xf>
    <xf numFmtId="166" fontId="24" fillId="3" borderId="0" xfId="33" applyNumberFormat="1" applyFont="1" applyFill="1" applyBorder="1" applyAlignment="1">
      <alignment horizontal="left" indent="1"/>
      <protection/>
    </xf>
    <xf numFmtId="166" fontId="25" fillId="3" borderId="7" xfId="33" applyNumberFormat="1" applyFont="1" applyFill="1" applyBorder="1" applyAlignment="1">
      <alignment horizontal="left" indent="3"/>
      <protection/>
    </xf>
    <xf numFmtId="169" fontId="29" fillId="3" borderId="0" xfId="21" applyNumberFormat="1" applyFont="1" applyFill="1" applyBorder="1">
      <alignment/>
      <protection/>
    </xf>
    <xf numFmtId="169" fontId="25" fillId="3" borderId="0" xfId="33" applyNumberFormat="1" applyFont="1" applyFill="1" applyBorder="1" applyAlignment="1">
      <alignment horizontal="left" indent="3"/>
      <protection/>
    </xf>
    <xf numFmtId="167" fontId="24" fillId="3" borderId="0" xfId="33" applyNumberFormat="1" applyFont="1" applyFill="1" applyBorder="1">
      <alignment/>
      <protection/>
    </xf>
    <xf numFmtId="167" fontId="20" fillId="3" borderId="0" xfId="21" applyNumberFormat="1" applyFont="1" applyFill="1" applyBorder="1">
      <alignment/>
      <protection/>
    </xf>
    <xf numFmtId="44" fontId="25" fillId="3" borderId="0" xfId="33" applyNumberFormat="1" applyFont="1" applyFill="1" applyBorder="1" applyAlignment="1">
      <alignment horizontal="left"/>
      <protection/>
    </xf>
    <xf numFmtId="44" fontId="29" fillId="3" borderId="0" xfId="21" applyNumberFormat="1" applyFont="1" applyFill="1" applyBorder="1">
      <alignment/>
      <protection/>
    </xf>
    <xf numFmtId="44" fontId="24" fillId="3" borderId="0" xfId="33" applyNumberFormat="1" applyFont="1" applyFill="1" applyBorder="1" applyAlignment="1">
      <alignment horizontal="left"/>
      <protection/>
    </xf>
    <xf numFmtId="178" fontId="24" fillId="3" borderId="0" xfId="33" applyNumberFormat="1" applyFont="1" applyFill="1" applyBorder="1" applyAlignment="1">
      <alignment horizontal="left"/>
      <protection/>
    </xf>
    <xf numFmtId="178" fontId="20" fillId="3" borderId="0" xfId="21" applyNumberFormat="1" applyFont="1" applyFill="1" applyBorder="1">
      <alignment/>
      <protection/>
    </xf>
    <xf numFmtId="164" fontId="25" fillId="3" borderId="0" xfId="33" applyNumberFormat="1" applyFont="1" applyFill="1" applyBorder="1" applyAlignment="1">
      <alignment horizontal="left" indent="3"/>
      <protection/>
    </xf>
    <xf numFmtId="170" fontId="20" fillId="3" borderId="0" xfId="33" applyNumberFormat="1" applyFont="1" applyFill="1" applyBorder="1">
      <alignment/>
      <protection/>
    </xf>
    <xf numFmtId="170" fontId="24" fillId="3" borderId="0" xfId="33" applyNumberFormat="1" applyFont="1" applyFill="1" applyBorder="1" applyAlignment="1">
      <alignment horizontal="left" indent="3"/>
      <protection/>
    </xf>
    <xf numFmtId="167" fontId="24" fillId="3" borderId="0" xfId="33" applyNumberFormat="1" applyFont="1" applyFill="1" applyBorder="1" applyAlignment="1">
      <alignment horizontal="left"/>
      <protection/>
    </xf>
    <xf numFmtId="164" fontId="24" fillId="3" borderId="10" xfId="0" applyNumberFormat="1" applyFont="1" applyFill="1" applyBorder="1"/>
    <xf numFmtId="164" fontId="20" fillId="3" borderId="11" xfId="27" applyNumberFormat="1" applyFont="1" applyFill="1" applyBorder="1" applyAlignment="1">
      <alignment horizontal="left" indent="1"/>
      <protection/>
    </xf>
    <xf numFmtId="164" fontId="7" fillId="3" borderId="12" xfId="0" applyNumberFormat="1" applyFont="1" applyFill="1" applyBorder="1"/>
    <xf numFmtId="164" fontId="0" fillId="0" borderId="0" xfId="0" applyNumberFormat="1" applyFont="1" applyFill="1" applyBorder="1"/>
    <xf numFmtId="166" fontId="0" fillId="0" borderId="0" xfId="0" applyNumberFormat="1" applyFont="1" applyFill="1" applyBorder="1"/>
    <xf numFmtId="184" fontId="0" fillId="3" borderId="0" xfId="0" applyNumberFormat="1" applyFont="1" applyFill="1" applyBorder="1"/>
    <xf numFmtId="164" fontId="0" fillId="3" borderId="0" xfId="0" applyNumberFormat="1" applyFont="1" applyFill="1" applyBorder="1" applyAlignment="1">
      <alignment horizontal="left" indent="1"/>
    </xf>
    <xf numFmtId="0" fontId="0" fillId="3" borderId="0" xfId="0" applyNumberFormat="1" applyFont="1" applyFill="1" applyBorder="1"/>
    <xf numFmtId="166" fontId="0" fillId="3" borderId="0" xfId="0" applyNumberFormat="1" applyFont="1" applyFill="1" applyBorder="1" applyAlignment="1">
      <alignment horizontal="left" indent="1"/>
    </xf>
    <xf numFmtId="166" fontId="0" fillId="3" borderId="0" xfId="0" applyNumberFormat="1" applyFont="1" applyFill="1" applyBorder="1"/>
    <xf numFmtId="166" fontId="0" fillId="3" borderId="13" xfId="0" applyNumberFormat="1" applyFont="1" applyFill="1" applyBorder="1" applyAlignment="1">
      <alignment horizontal="left" indent="1"/>
    </xf>
    <xf numFmtId="166" fontId="0" fillId="3" borderId="13" xfId="0" applyNumberFormat="1" applyFont="1" applyFill="1" applyBorder="1"/>
    <xf numFmtId="0" fontId="31" fillId="5" borderId="0" xfId="0" applyNumberFormat="1" applyFont="1" applyFill="1" applyBorder="1"/>
    <xf numFmtId="0" fontId="38" fillId="0" borderId="0" xfId="33" applyNumberFormat="1" applyFont="1" applyFill="1" applyBorder="1" applyAlignment="1">
      <alignment horizontal="left"/>
      <protection/>
    </xf>
    <xf numFmtId="0" fontId="38" fillId="0" borderId="0" xfId="33" applyNumberFormat="1" applyFont="1" applyFill="1" applyBorder="1" applyAlignment="1">
      <alignment horizontal="center"/>
      <protection/>
    </xf>
    <xf numFmtId="0" fontId="0" fillId="0" borderId="0" xfId="33" applyNumberFormat="1" applyFont="1" applyFill="1" applyBorder="1">
      <alignment/>
      <protection/>
    </xf>
    <xf numFmtId="0" fontId="37" fillId="0" borderId="0" xfId="33" applyNumberFormat="1" applyFont="1" applyFill="1" applyBorder="1">
      <alignment/>
      <protection/>
    </xf>
    <xf numFmtId="0" fontId="7" fillId="0" borderId="0" xfId="33" applyNumberFormat="1" applyFont="1" applyFill="1" applyBorder="1">
      <alignment/>
      <protection/>
    </xf>
    <xf numFmtId="0" fontId="19" fillId="0" borderId="0" xfId="33" applyNumberFormat="1" applyFont="1" applyFill="1" applyBorder="1">
      <alignment/>
      <protection/>
    </xf>
    <xf numFmtId="167" fontId="0" fillId="0" borderId="0" xfId="33" applyNumberFormat="1" applyFont="1" applyFill="1" applyBorder="1">
      <alignment/>
      <protection/>
    </xf>
    <xf numFmtId="0" fontId="0" fillId="0" borderId="0" xfId="33" applyNumberFormat="1" applyFont="1" applyFill="1" applyBorder="1" applyAlignment="1">
      <alignment horizontal="left"/>
      <protection/>
    </xf>
    <xf numFmtId="0" fontId="9" fillId="0" borderId="0" xfId="33" applyNumberFormat="1" applyFont="1" applyFill="1" applyBorder="1">
      <alignment/>
      <protection/>
    </xf>
    <xf numFmtId="0" fontId="39" fillId="3" borderId="0" xfId="33" applyNumberFormat="1" applyFont="1" applyFill="1" applyBorder="1">
      <alignment/>
      <protection/>
    </xf>
    <xf numFmtId="0" fontId="7" fillId="3" borderId="0" xfId="0" applyNumberFormat="1" applyFont="1" applyFill="1" applyBorder="1"/>
    <xf numFmtId="173" fontId="7" fillId="3" borderId="0" xfId="0" applyNumberFormat="1" applyFont="1" applyFill="1" applyBorder="1"/>
    <xf numFmtId="0" fontId="24" fillId="3" borderId="0" xfId="0" applyNumberFormat="1" applyFont="1" applyFill="1" applyBorder="1"/>
    <xf numFmtId="0" fontId="25" fillId="3" borderId="0" xfId="33" applyNumberFormat="1" applyFont="1" applyFill="1" applyBorder="1">
      <alignment/>
      <protection/>
    </xf>
    <xf numFmtId="0" fontId="22" fillId="3" borderId="0" xfId="33" applyNumberFormat="1" applyFont="1" applyFill="1" applyBorder="1">
      <alignment/>
      <protection/>
    </xf>
    <xf numFmtId="0" fontId="24" fillId="3" borderId="0" xfId="33" applyNumberFormat="1" applyFont="1" applyFill="1" applyBorder="1" applyAlignment="1">
      <alignment horizontal="left"/>
      <protection/>
    </xf>
    <xf numFmtId="0" fontId="24" fillId="3" borderId="0" xfId="33" applyNumberFormat="1" applyFont="1" applyFill="1" applyBorder="1">
      <alignment/>
      <protection/>
    </xf>
    <xf numFmtId="14" fontId="24" fillId="3" borderId="0" xfId="33" applyNumberFormat="1" applyFont="1" applyFill="1" applyBorder="1" applyAlignment="1">
      <alignment horizontal="left"/>
      <protection/>
    </xf>
    <xf numFmtId="0" fontId="41" fillId="3" borderId="0" xfId="25" applyNumberFormat="1" applyFont="1" applyFill="1" applyBorder="1">
      <alignment/>
      <protection/>
    </xf>
    <xf numFmtId="0" fontId="24" fillId="3" borderId="0" xfId="33" applyNumberFormat="1" applyFont="1" applyFill="1" applyBorder="1" applyAlignment="1">
      <alignment horizontal="center"/>
      <protection/>
    </xf>
    <xf numFmtId="164" fontId="24" fillId="3" borderId="0" xfId="33" applyNumberFormat="1" applyFont="1" applyFill="1" applyBorder="1" applyAlignment="1">
      <alignment horizontal="center"/>
      <protection/>
    </xf>
    <xf numFmtId="0" fontId="21" fillId="5" borderId="0" xfId="33" applyNumberFormat="1" applyFont="1" applyFill="1" applyBorder="1" applyAlignment="1">
      <alignment horizontal="left"/>
      <protection/>
    </xf>
    <xf numFmtId="0" fontId="21" fillId="5" borderId="0" xfId="33" applyNumberFormat="1" applyFont="1" applyFill="1" applyBorder="1" applyAlignment="1">
      <alignment horizontal="centerContinuous"/>
      <protection/>
    </xf>
    <xf numFmtId="0" fontId="21" fillId="5" borderId="0" xfId="33" applyNumberFormat="1" applyFont="1" applyFill="1" applyBorder="1" applyAlignment="1">
      <alignment horizontal="center"/>
      <protection/>
    </xf>
    <xf numFmtId="167" fontId="21" fillId="5" borderId="0" xfId="33" applyNumberFormat="1" applyFont="1" applyFill="1" applyBorder="1" applyAlignment="1">
      <alignment horizontal="center"/>
      <protection/>
    </xf>
    <xf numFmtId="0" fontId="24" fillId="6" borderId="0" xfId="33" applyNumberFormat="1" applyFont="1" applyFill="1" applyBorder="1">
      <alignment/>
      <protection/>
    </xf>
    <xf numFmtId="0" fontId="22" fillId="6" borderId="0" xfId="33" applyNumberFormat="1" applyFont="1" applyFill="1" applyBorder="1">
      <alignment/>
      <protection/>
    </xf>
    <xf numFmtId="167" fontId="24" fillId="6" borderId="0" xfId="33" applyNumberFormat="1" applyFont="1" applyFill="1" applyBorder="1">
      <alignment/>
      <protection/>
    </xf>
    <xf numFmtId="14" fontId="24" fillId="6" borderId="0" xfId="33" applyNumberFormat="1" applyFont="1" applyFill="1" applyBorder="1" applyAlignment="1">
      <alignment horizontal="left"/>
      <protection/>
    </xf>
    <xf numFmtId="164" fontId="24" fillId="6" borderId="0" xfId="33" applyNumberFormat="1" applyFont="1" applyFill="1" applyBorder="1">
      <alignment/>
      <protection/>
    </xf>
    <xf numFmtId="169" fontId="24" fillId="6" borderId="0" xfId="33" applyNumberFormat="1" applyFont="1" applyFill="1" applyBorder="1">
      <alignment/>
      <protection/>
    </xf>
    <xf numFmtId="0" fontId="21" fillId="3" borderId="0" xfId="33" applyNumberFormat="1" applyFont="1" applyFill="1" applyBorder="1" applyAlignment="1">
      <alignment horizontal="left"/>
      <protection/>
    </xf>
    <xf numFmtId="0" fontId="21" fillId="3" borderId="0" xfId="33" applyNumberFormat="1" applyFont="1" applyFill="1" applyBorder="1" applyAlignment="1">
      <alignment horizontal="center"/>
      <protection/>
    </xf>
    <xf numFmtId="0" fontId="25" fillId="6" borderId="0" xfId="33" applyNumberFormat="1" applyFont="1" applyFill="1" applyBorder="1">
      <alignment/>
      <protection/>
    </xf>
    <xf numFmtId="167" fontId="25" fillId="6" borderId="0" xfId="33" applyNumberFormat="1" applyFont="1" applyFill="1" applyBorder="1" applyAlignment="1">
      <alignment horizontal="center"/>
      <protection/>
    </xf>
    <xf numFmtId="164" fontId="25" fillId="6" borderId="0" xfId="33" applyNumberFormat="1" applyFont="1" applyFill="1" applyBorder="1" applyAlignment="1">
      <alignment horizontal="center"/>
      <protection/>
    </xf>
    <xf numFmtId="169" fontId="25" fillId="6" borderId="0" xfId="33" applyNumberFormat="1" applyFont="1" applyFill="1" applyBorder="1" applyAlignment="1">
      <alignment horizontal="center"/>
      <protection/>
    </xf>
    <xf numFmtId="0" fontId="42" fillId="6" borderId="0" xfId="25" applyNumberFormat="1" applyFont="1" applyFill="1" applyBorder="1">
      <alignment/>
      <protection/>
    </xf>
    <xf numFmtId="44" fontId="25" fillId="3" borderId="0" xfId="33" applyNumberFormat="1" applyFont="1" applyFill="1" applyBorder="1">
      <alignment/>
      <protection/>
    </xf>
    <xf numFmtId="178" fontId="24" fillId="3" borderId="0" xfId="33" applyNumberFormat="1" applyFont="1" applyFill="1" applyBorder="1">
      <alignment/>
      <protection/>
    </xf>
    <xf numFmtId="185" fontId="9" fillId="3" borderId="0" xfId="0" applyNumberFormat="1" applyFont="1" applyFill="1" applyBorder="1"/>
    <xf numFmtId="164" fontId="20" fillId="3" borderId="0" xfId="27" applyNumberFormat="1" applyFont="1" applyFill="1" applyBorder="1">
      <alignment/>
      <protection/>
    </xf>
    <xf numFmtId="164" fontId="24" fillId="3" borderId="12" xfId="0" applyNumberFormat="1" applyFont="1" applyFill="1" applyBorder="1"/>
    <xf numFmtId="164" fontId="20" fillId="3" borderId="12" xfId="27" applyNumberFormat="1" applyFont="1" applyFill="1" applyBorder="1">
      <alignment/>
      <protection/>
    </xf>
    <xf numFmtId="0" fontId="24" fillId="3" borderId="12" xfId="0" applyNumberFormat="1" applyFont="1" applyFill="1" applyBorder="1"/>
    <xf numFmtId="164" fontId="24" fillId="3" borderId="14" xfId="0" applyNumberFormat="1" applyFont="1" applyFill="1" applyBorder="1"/>
    <xf numFmtId="165" fontId="29" fillId="3" borderId="15" xfId="27" applyNumberFormat="1" applyFont="1" applyFill="1" applyBorder="1" applyAlignment="1">
      <alignment horizontal="left"/>
      <protection/>
    </xf>
    <xf numFmtId="165" fontId="20" fillId="3" borderId="11" xfId="27" applyNumberFormat="1" applyFont="1" applyFill="1" applyBorder="1" applyAlignment="1">
      <alignment horizontal="left"/>
      <protection/>
    </xf>
    <xf numFmtId="184" fontId="20" fillId="3" borderId="11" xfId="27" applyNumberFormat="1" applyFont="1" applyFill="1" applyBorder="1" applyAlignment="1">
      <alignment horizontal="left" indent="1"/>
      <protection/>
    </xf>
    <xf numFmtId="184" fontId="24" fillId="3" borderId="0" xfId="0" applyNumberFormat="1" applyFont="1" applyFill="1" applyBorder="1"/>
    <xf numFmtId="184" fontId="20" fillId="3" borderId="0" xfId="27" applyNumberFormat="1" applyFont="1" applyFill="1" applyBorder="1">
      <alignment/>
      <protection/>
    </xf>
    <xf numFmtId="184" fontId="24" fillId="3" borderId="10" xfId="0" applyNumberFormat="1" applyFont="1" applyFill="1" applyBorder="1"/>
    <xf numFmtId="184" fontId="0" fillId="0" borderId="0" xfId="0" applyNumberFormat="1" applyFont="1" applyFill="1" applyBorder="1"/>
    <xf numFmtId="184" fontId="20" fillId="3" borderId="11" xfId="27" applyNumberFormat="1" applyFont="1" applyFill="1" applyBorder="1" applyAlignment="1">
      <alignment horizontal="left" indent="2"/>
      <protection/>
    </xf>
    <xf numFmtId="185" fontId="20" fillId="3" borderId="11" xfId="27" applyNumberFormat="1" applyFont="1" applyFill="1" applyBorder="1" applyAlignment="1">
      <alignment horizontal="left" indent="1"/>
      <protection/>
    </xf>
    <xf numFmtId="185" fontId="0" fillId="3" borderId="0" xfId="0" applyNumberFormat="1" applyFont="1" applyFill="1" applyBorder="1"/>
    <xf numFmtId="185" fontId="0" fillId="0" borderId="0" xfId="0" applyNumberFormat="1" applyFont="1" applyFill="1" applyBorder="1"/>
    <xf numFmtId="185" fontId="20" fillId="3" borderId="11" xfId="27" applyNumberFormat="1" applyFont="1" applyFill="1" applyBorder="1" applyAlignment="1">
      <alignment horizontal="left" indent="2"/>
      <protection/>
    </xf>
    <xf numFmtId="184" fontId="0" fillId="3" borderId="0" xfId="0" applyNumberFormat="1" applyFont="1" applyFill="1" applyBorder="1" applyAlignment="1">
      <alignment horizontal="left" indent="1"/>
    </xf>
    <xf numFmtId="184" fontId="0" fillId="4" borderId="0" xfId="0" applyNumberFormat="1" applyFont="1" applyFill="1" applyBorder="1" applyAlignment="1">
      <alignment horizontal="right"/>
    </xf>
    <xf numFmtId="184" fontId="0" fillId="3" borderId="0" xfId="0" applyNumberFormat="1" applyFont="1" applyFill="1" applyBorder="1" applyAlignment="1">
      <alignment horizontal="right"/>
    </xf>
    <xf numFmtId="184" fontId="24" fillId="4" borderId="0" xfId="0" applyNumberFormat="1" applyFont="1" applyFill="1" applyBorder="1"/>
    <xf numFmtId="185" fontId="0" fillId="3" borderId="0" xfId="0" applyNumberFormat="1" applyFont="1" applyFill="1" applyBorder="1" applyAlignment="1">
      <alignment horizontal="left" indent="1"/>
    </xf>
    <xf numFmtId="44" fontId="7" fillId="4" borderId="0" xfId="0" applyNumberFormat="1" applyFont="1" applyFill="1" applyBorder="1"/>
    <xf numFmtId="44" fontId="7" fillId="3" borderId="0" xfId="0" applyNumberFormat="1" applyFont="1" applyFill="1" applyBorder="1"/>
    <xf numFmtId="44" fontId="25" fillId="3" borderId="0" xfId="0" applyNumberFormat="1" applyFont="1" applyFill="1" applyBorder="1"/>
    <xf numFmtId="44" fontId="25" fillId="4" borderId="0" xfId="0" applyNumberFormat="1" applyFont="1" applyFill="1" applyBorder="1"/>
    <xf numFmtId="44" fontId="25" fillId="4" borderId="0" xfId="33" applyNumberFormat="1" applyFont="1" applyFill="1" applyBorder="1" applyAlignment="1">
      <alignment horizontal="center"/>
      <protection/>
    </xf>
    <xf numFmtId="44" fontId="25" fillId="3" borderId="0" xfId="33" applyNumberFormat="1" applyFont="1" applyFill="1" applyBorder="1" applyAlignment="1">
      <alignment horizontal="center"/>
      <protection/>
    </xf>
    <xf numFmtId="44" fontId="25" fillId="4" borderId="0" xfId="33" applyNumberFormat="1" applyFont="1" applyFill="1" applyBorder="1">
      <alignment/>
      <protection/>
    </xf>
    <xf numFmtId="44" fontId="25" fillId="4" borderId="0" xfId="33" applyNumberFormat="1" applyFont="1" applyFill="1" applyBorder="1" applyAlignment="1">
      <alignment horizontal="right"/>
      <protection/>
    </xf>
    <xf numFmtId="44" fontId="25" fillId="3" borderId="0" xfId="33" applyNumberFormat="1" applyFont="1" applyFill="1" applyBorder="1" applyAlignment="1">
      <alignment horizontal="right"/>
      <protection/>
    </xf>
    <xf numFmtId="0" fontId="42" fillId="3" borderId="0" xfId="25" applyNumberFormat="1" applyFont="1" applyFill="1" applyBorder="1">
      <alignment/>
      <protection/>
    </xf>
    <xf numFmtId="164" fontId="25" fillId="3" borderId="0" xfId="33" applyNumberFormat="1" applyFont="1" applyFill="1" applyBorder="1" applyAlignment="1">
      <alignment horizontal="center"/>
      <protection/>
    </xf>
    <xf numFmtId="0" fontId="7" fillId="3" borderId="0" xfId="0" applyNumberFormat="1" applyFont="1" applyFill="1" applyBorder="1" applyAlignment="1">
      <alignment horizontal="center"/>
    </xf>
    <xf numFmtId="167" fontId="7" fillId="3" borderId="7" xfId="0" applyNumberFormat="1" applyFont="1" applyFill="1" applyBorder="1" applyAlignment="1">
      <alignment horizontal="left"/>
    </xf>
    <xf numFmtId="167" fontId="7" fillId="3" borderId="7" xfId="0" applyNumberFormat="1" applyFont="1" applyFill="1" applyBorder="1"/>
    <xf numFmtId="166" fontId="0" fillId="3" borderId="2" xfId="0" applyNumberFormat="1" applyFont="1" applyFill="1" applyBorder="1"/>
    <xf numFmtId="166" fontId="9" fillId="3" borderId="2" xfId="0" applyNumberFormat="1" applyFont="1" applyFill="1" applyBorder="1"/>
    <xf numFmtId="166" fontId="0" fillId="3" borderId="9" xfId="0" applyNumberFormat="1" applyFont="1" applyFill="1" applyBorder="1" applyAlignment="1">
      <alignment horizontal="left" indent="1"/>
    </xf>
    <xf numFmtId="166" fontId="0" fillId="3" borderId="9" xfId="0" applyNumberFormat="1" applyFont="1" applyFill="1" applyBorder="1"/>
    <xf numFmtId="166" fontId="9" fillId="3" borderId="9" xfId="0" applyNumberFormat="1" applyFont="1" applyFill="1" applyBorder="1"/>
    <xf numFmtId="166" fontId="0" fillId="3" borderId="7" xfId="0" applyNumberFormat="1" applyFont="1" applyFill="1" applyBorder="1" applyAlignment="1">
      <alignment horizontal="left" indent="1"/>
    </xf>
    <xf numFmtId="166" fontId="0" fillId="3" borderId="7" xfId="0" applyNumberFormat="1" applyFont="1" applyFill="1" applyBorder="1"/>
    <xf numFmtId="164" fontId="7" fillId="3" borderId="11" xfId="0" applyNumberFormat="1" applyFont="1" applyFill="1" applyBorder="1"/>
    <xf numFmtId="164" fontId="0" fillId="3" borderId="11" xfId="0" applyNumberFormat="1" applyFont="1" applyFill="1" applyBorder="1"/>
    <xf numFmtId="164" fontId="20" fillId="3" borderId="16" xfId="27" applyNumberFormat="1" applyFont="1" applyFill="1" applyBorder="1" applyAlignment="1">
      <alignment horizontal="left" indent="1"/>
      <protection/>
    </xf>
    <xf numFmtId="164" fontId="24" fillId="3" borderId="16" xfId="0" applyNumberFormat="1" applyFont="1" applyFill="1" applyBorder="1"/>
    <xf numFmtId="164" fontId="20" fillId="3" borderId="16" xfId="27" applyNumberFormat="1" applyFont="1" applyFill="1" applyBorder="1">
      <alignment/>
      <protection/>
    </xf>
    <xf numFmtId="0" fontId="24" fillId="3" borderId="16" xfId="0" applyNumberFormat="1" applyFont="1" applyFill="1" applyBorder="1"/>
    <xf numFmtId="184" fontId="0" fillId="3" borderId="11" xfId="0" applyNumberFormat="1" applyFont="1" applyFill="1" applyBorder="1"/>
    <xf numFmtId="185" fontId="0" fillId="3" borderId="11" xfId="0" applyNumberFormat="1" applyFont="1" applyFill="1" applyBorder="1"/>
    <xf numFmtId="167" fontId="7" fillId="4" borderId="7" xfId="0" applyNumberFormat="1" applyFont="1" applyFill="1" applyBorder="1"/>
    <xf numFmtId="166" fontId="0" fillId="4" borderId="2" xfId="0" applyNumberFormat="1" applyFont="1" applyFill="1" applyBorder="1"/>
    <xf numFmtId="166" fontId="0" fillId="4" borderId="9" xfId="0" applyNumberFormat="1" applyFont="1" applyFill="1" applyBorder="1"/>
    <xf numFmtId="166" fontId="0" fillId="4" borderId="7" xfId="0" applyNumberFormat="1" applyFont="1" applyFill="1" applyBorder="1"/>
    <xf numFmtId="166" fontId="24" fillId="4" borderId="9" xfId="0" applyNumberFormat="1" applyFont="1" applyFill="1" applyBorder="1"/>
    <xf numFmtId="166" fontId="9" fillId="4" borderId="2" xfId="0" applyNumberFormat="1" applyFont="1" applyFill="1" applyBorder="1"/>
    <xf numFmtId="166" fontId="9" fillId="4" borderId="9" xfId="0" applyNumberFormat="1" applyFont="1" applyFill="1" applyBorder="1"/>
    <xf numFmtId="164" fontId="24" fillId="3" borderId="2" xfId="0" applyNumberFormat="1" applyFont="1" applyFill="1" applyBorder="1"/>
    <xf numFmtId="164" fontId="20" fillId="3" borderId="2" xfId="27" applyNumberFormat="1" applyFont="1" applyFill="1" applyBorder="1">
      <alignment/>
      <protection/>
    </xf>
    <xf numFmtId="0" fontId="24" fillId="3" borderId="2" xfId="0" applyNumberFormat="1" applyFont="1" applyFill="1" applyBorder="1"/>
    <xf numFmtId="164" fontId="24" fillId="3" borderId="4" xfId="0" applyNumberFormat="1" applyFont="1" applyFill="1" applyBorder="1"/>
    <xf numFmtId="164" fontId="24" fillId="3" borderId="1" xfId="0" applyNumberFormat="1" applyFont="1" applyFill="1" applyBorder="1"/>
    <xf numFmtId="164" fontId="20" fillId="3" borderId="5" xfId="27" applyNumberFormat="1" applyFont="1" applyFill="1" applyBorder="1" applyAlignment="1">
      <alignment horizontal="left" indent="1"/>
      <protection/>
    </xf>
    <xf numFmtId="164" fontId="20" fillId="3" borderId="3" xfId="27" applyNumberFormat="1" applyFont="1" applyFill="1" applyBorder="1" applyAlignment="1">
      <alignment horizontal="left" indent="1"/>
      <protection/>
    </xf>
    <xf numFmtId="164" fontId="29" fillId="3" borderId="17" xfId="27" applyNumberFormat="1" applyFont="1" applyFill="1" applyBorder="1">
      <alignment/>
      <protection/>
    </xf>
    <xf numFmtId="174" fontId="20" fillId="3" borderId="18" xfId="29" applyNumberFormat="1" applyFont="1" applyFill="1" applyBorder="1" applyAlignment="1">
      <alignment horizontal="left" indent="1"/>
      <protection/>
    </xf>
    <xf numFmtId="175" fontId="20" fillId="3" borderId="18" xfId="29" applyNumberFormat="1" applyFont="1" applyFill="1" applyBorder="1" applyAlignment="1">
      <alignment horizontal="left" indent="1"/>
      <protection/>
    </xf>
    <xf numFmtId="176" fontId="20" fillId="3" borderId="18" xfId="29" applyNumberFormat="1" applyFont="1" applyFill="1" applyBorder="1" applyAlignment="1">
      <alignment horizontal="left" indent="1"/>
      <protection/>
    </xf>
    <xf numFmtId="164" fontId="29" fillId="3" borderId="8" xfId="27" applyNumberFormat="1" applyFont="1" applyFill="1" applyBorder="1">
      <alignment/>
      <protection/>
    </xf>
    <xf numFmtId="166" fontId="24" fillId="3" borderId="2" xfId="33" applyNumberFormat="1" applyFont="1" applyFill="1" applyBorder="1" applyAlignment="1">
      <alignment horizontal="left" indent="1"/>
      <protection/>
    </xf>
    <xf numFmtId="166" fontId="24" fillId="3" borderId="2" xfId="33" applyNumberFormat="1" applyFont="1" applyFill="1" applyBorder="1" applyAlignment="1">
      <alignment horizontal="left" indent="3"/>
      <protection/>
    </xf>
    <xf numFmtId="166" fontId="24" fillId="4" borderId="2" xfId="33" applyNumberFormat="1" applyFont="1" applyFill="1" applyBorder="1">
      <alignment/>
      <protection/>
    </xf>
    <xf numFmtId="166" fontId="24" fillId="3" borderId="2" xfId="33" applyNumberFormat="1" applyFont="1" applyFill="1" applyBorder="1">
      <alignment/>
      <protection/>
    </xf>
    <xf numFmtId="167" fontId="24" fillId="4" borderId="0" xfId="33" applyNumberFormat="1" applyFont="1" applyFill="1" applyBorder="1" applyAlignment="1">
      <alignment horizontal="right"/>
      <protection/>
    </xf>
    <xf numFmtId="166" fontId="27" fillId="3" borderId="2" xfId="33" applyNumberFormat="1" applyFont="1" applyFill="1" applyBorder="1">
      <alignment/>
      <protection/>
    </xf>
    <xf numFmtId="166" fontId="7" fillId="3" borderId="7" xfId="33" applyNumberFormat="1" applyFont="1" applyFill="1" applyBorder="1" applyAlignment="1">
      <alignment horizontal="left"/>
      <protection/>
    </xf>
    <xf numFmtId="178" fontId="34" fillId="3" borderId="0" xfId="0" applyNumberFormat="1" applyFont="1" applyFill="1" applyBorder="1" applyAlignment="1">
      <alignment horizontal="left" indent="1"/>
    </xf>
    <xf numFmtId="166" fontId="7" fillId="4" borderId="7" xfId="33" applyNumberFormat="1" applyFont="1" applyFill="1" applyBorder="1">
      <alignment/>
      <protection/>
    </xf>
    <xf numFmtId="0" fontId="42" fillId="6" borderId="0" xfId="25" applyFont="1" applyFill="1">
      <alignment/>
      <protection/>
    </xf>
    <xf numFmtId="0" fontId="4" fillId="3" borderId="19" xfId="25" applyFill="1" applyBorder="1">
      <alignment/>
      <protection/>
    </xf>
    <xf numFmtId="164" fontId="3" fillId="3" borderId="6" xfId="27" applyNumberFormat="1" applyFont="1" applyFill="1" applyBorder="1" applyAlignment="1">
      <alignment horizontal="left"/>
      <protection/>
    </xf>
    <xf numFmtId="164" fontId="2" fillId="3" borderId="4" xfId="27" applyNumberFormat="1" applyFont="1" applyFill="1" applyBorder="1" applyAlignment="1">
      <alignment horizontal="left" indent="1"/>
      <protection/>
    </xf>
    <xf numFmtId="0" fontId="4" fillId="3" borderId="20" xfId="25" applyFill="1" applyBorder="1">
      <alignment/>
      <protection/>
    </xf>
    <xf numFmtId="173" fontId="29" fillId="3" borderId="0" xfId="0" applyNumberFormat="1" applyFont="1" applyFill="1" applyBorder="1" applyAlignment="1">
      <alignment horizontal="left"/>
    </xf>
    <xf numFmtId="173" fontId="25" fillId="3" borderId="0" xfId="0" applyNumberFormat="1" applyFont="1" applyFill="1" applyBorder="1" applyAlignment="1">
      <alignment horizontal="left" indent="3"/>
    </xf>
    <xf numFmtId="173" fontId="25" fillId="4" borderId="0" xfId="33" applyNumberFormat="1" applyFont="1" applyFill="1" applyBorder="1">
      <alignment/>
      <protection/>
    </xf>
    <xf numFmtId="173" fontId="25" fillId="3" borderId="0" xfId="33" applyNumberFormat="1" applyFont="1" applyFill="1" applyBorder="1">
      <alignment/>
      <protection/>
    </xf>
    <xf numFmtId="166" fontId="24" fillId="3" borderId="0" xfId="0" applyNumberFormat="1" applyFont="1" applyFill="1" applyBorder="1" applyAlignment="1">
      <alignment horizontal="left" indent="1"/>
    </xf>
    <xf numFmtId="166" fontId="24" fillId="3" borderId="0" xfId="0" applyNumberFormat="1" applyFont="1" applyFill="1" applyBorder="1" applyAlignment="1">
      <alignment horizontal="left" indent="3"/>
    </xf>
    <xf numFmtId="166" fontId="24" fillId="3" borderId="2" xfId="0" applyNumberFormat="1" applyFont="1" applyFill="1" applyBorder="1" applyAlignment="1">
      <alignment horizontal="left" indent="1"/>
    </xf>
    <xf numFmtId="166" fontId="24" fillId="3" borderId="2" xfId="0" applyNumberFormat="1" applyFont="1" applyFill="1" applyBorder="1" applyAlignment="1">
      <alignment horizontal="left" indent="3"/>
    </xf>
    <xf numFmtId="166" fontId="25" fillId="3" borderId="7" xfId="0" applyNumberFormat="1" applyFont="1" applyFill="1" applyBorder="1" applyAlignment="1">
      <alignment horizontal="left"/>
    </xf>
    <xf numFmtId="166" fontId="25" fillId="3" borderId="7" xfId="0" applyNumberFormat="1" applyFont="1" applyFill="1" applyBorder="1" applyAlignment="1">
      <alignment horizontal="left" indent="3"/>
    </xf>
    <xf numFmtId="166" fontId="25" fillId="3" borderId="0" xfId="0" applyNumberFormat="1" applyFont="1" applyFill="1" applyBorder="1" applyAlignment="1">
      <alignment horizontal="left"/>
    </xf>
    <xf numFmtId="166" fontId="25" fillId="3" borderId="0" xfId="0" applyNumberFormat="1" applyFont="1" applyFill="1" applyBorder="1" applyAlignment="1">
      <alignment horizontal="left" indent="3"/>
    </xf>
    <xf numFmtId="166" fontId="24" fillId="3" borderId="0" xfId="0" applyNumberFormat="1" applyFont="1" applyFill="1" applyBorder="1" applyAlignment="1">
      <alignment horizontal="left"/>
    </xf>
    <xf numFmtId="167" fontId="25" fillId="3" borderId="0" xfId="0" applyNumberFormat="1" applyFont="1" applyFill="1" applyBorder="1"/>
    <xf numFmtId="167" fontId="25" fillId="3" borderId="0" xfId="0" applyNumberFormat="1" applyFont="1" applyFill="1" applyBorder="1" applyAlignment="1">
      <alignment horizontal="left" indent="3"/>
    </xf>
    <xf numFmtId="164" fontId="7" fillId="3" borderId="0" xfId="0" applyNumberFormat="1" applyFont="1" applyFill="1"/>
    <xf numFmtId="166" fontId="0" fillId="3" borderId="0" xfId="0" applyNumberFormat="1" applyFill="1"/>
    <xf numFmtId="166" fontId="7" fillId="3" borderId="0" xfId="0" applyNumberFormat="1" applyFont="1" applyFill="1" applyAlignment="1">
      <alignment horizontal="left"/>
    </xf>
    <xf numFmtId="166" fontId="7" fillId="3" borderId="0" xfId="0" applyNumberFormat="1" applyFont="1" applyFill="1"/>
    <xf numFmtId="0" fontId="0" fillId="3" borderId="0" xfId="0" applyFill="1"/>
    <xf numFmtId="167" fontId="7" fillId="3" borderId="0" xfId="0" applyNumberFormat="1" applyFont="1" applyFill="1"/>
    <xf numFmtId="166" fontId="9" fillId="3" borderId="0" xfId="0" applyNumberFormat="1" applyFont="1" applyFill="1"/>
    <xf numFmtId="166" fontId="9" fillId="4" borderId="0" xfId="0" applyNumberFormat="1" applyFont="1" applyFill="1"/>
    <xf numFmtId="44" fontId="7" fillId="3" borderId="0" xfId="0" applyNumberFormat="1" applyFont="1" applyFill="1"/>
    <xf numFmtId="44" fontId="13" fillId="3" borderId="0" xfId="0" applyNumberFormat="1" applyFont="1" applyFill="1"/>
    <xf numFmtId="44" fontId="13" fillId="4" borderId="0" xfId="0" applyNumberFormat="1" applyFont="1" applyFill="1"/>
    <xf numFmtId="167" fontId="13" fillId="3" borderId="0" xfId="0" applyNumberFormat="1" applyFont="1" applyFill="1"/>
    <xf numFmtId="167" fontId="13" fillId="4" borderId="0" xfId="0" applyNumberFormat="1" applyFont="1" applyFill="1"/>
    <xf numFmtId="166" fontId="25" fillId="3" borderId="7" xfId="0" applyNumberFormat="1" applyFont="1" applyFill="1" applyBorder="1" applyAlignment="1">
      <alignment horizontal="left" indent="4"/>
    </xf>
    <xf numFmtId="164" fontId="24" fillId="3" borderId="0" xfId="0" applyNumberFormat="1" applyFont="1" applyFill="1" applyBorder="1" applyAlignment="1">
      <alignment horizontal="left" indent="1"/>
    </xf>
    <xf numFmtId="164" fontId="24" fillId="3" borderId="0" xfId="0" applyNumberFormat="1" applyFont="1" applyFill="1" applyBorder="1" applyAlignment="1">
      <alignment horizontal="left" indent="4"/>
    </xf>
    <xf numFmtId="166" fontId="24" fillId="3" borderId="0" xfId="0" applyNumberFormat="1" applyFont="1" applyFill="1" applyBorder="1" applyAlignment="1">
      <alignment horizontal="left" indent="4"/>
    </xf>
    <xf numFmtId="164" fontId="0" fillId="3" borderId="0" xfId="0" applyNumberFormat="1" applyFont="1" applyFill="1" applyAlignment="1">
      <alignment horizontal="left" indent="1"/>
    </xf>
    <xf numFmtId="164" fontId="0" fillId="3" borderId="2" xfId="0" applyNumberFormat="1" applyFont="1" applyFill="1" applyBorder="1" applyAlignment="1">
      <alignment horizontal="left" indent="1"/>
    </xf>
    <xf numFmtId="167" fontId="22" fillId="3" borderId="0" xfId="0" applyNumberFormat="1" applyFont="1" applyFill="1" applyAlignment="1">
      <alignment horizontal="left" indent="1"/>
    </xf>
    <xf numFmtId="167" fontId="24" fillId="3" borderId="0" xfId="0" applyNumberFormat="1" applyFont="1" applyFill="1" applyBorder="1" applyAlignment="1">
      <alignment horizontal="left" indent="4"/>
    </xf>
    <xf numFmtId="167" fontId="24" fillId="4" borderId="0" xfId="0" applyNumberFormat="1" applyFont="1" applyFill="1" applyBorder="1"/>
    <xf numFmtId="167" fontId="24" fillId="3" borderId="0" xfId="0" applyNumberFormat="1" applyFont="1" applyFill="1" applyBorder="1"/>
    <xf numFmtId="167" fontId="22" fillId="3" borderId="0" xfId="0" applyNumberFormat="1" applyFont="1" applyFill="1" applyBorder="1" applyAlignment="1">
      <alignment horizontal="left" indent="4"/>
    </xf>
    <xf numFmtId="166" fontId="25" fillId="3" borderId="0" xfId="0" applyNumberFormat="1" applyFont="1" applyFill="1" applyBorder="1" applyAlignment="1">
      <alignment horizontal="left" indent="4"/>
    </xf>
    <xf numFmtId="167" fontId="24" fillId="3" borderId="0" xfId="0" applyNumberFormat="1" applyFont="1" applyFill="1" applyBorder="1" applyAlignment="1">
      <alignment horizontal="left" indent="1"/>
    </xf>
    <xf numFmtId="167" fontId="24" fillId="3" borderId="2" xfId="0" applyNumberFormat="1" applyFont="1" applyFill="1" applyBorder="1" applyAlignment="1">
      <alignment horizontal="left" indent="1"/>
    </xf>
    <xf numFmtId="167" fontId="24" fillId="3" borderId="2" xfId="0" applyNumberFormat="1" applyFont="1" applyFill="1" applyBorder="1" applyAlignment="1">
      <alignment horizontal="left" indent="4"/>
    </xf>
    <xf numFmtId="167" fontId="24" fillId="4" borderId="2" xfId="0" applyNumberFormat="1" applyFont="1" applyFill="1" applyBorder="1"/>
    <xf numFmtId="167" fontId="24" fillId="3" borderId="2" xfId="0" applyNumberFormat="1" applyFont="1" applyFill="1" applyBorder="1"/>
    <xf numFmtId="167" fontId="9" fillId="3" borderId="2" xfId="0" applyNumberFormat="1" applyFont="1" applyFill="1" applyBorder="1"/>
    <xf numFmtId="167" fontId="9" fillId="4" borderId="2" xfId="0" applyNumberFormat="1" applyFont="1" applyFill="1" applyBorder="1"/>
    <xf numFmtId="167" fontId="25" fillId="3" borderId="0" xfId="0" applyNumberFormat="1" applyFont="1" applyFill="1" applyBorder="1" applyAlignment="1">
      <alignment horizontal="left"/>
    </xf>
    <xf numFmtId="167" fontId="25" fillId="3" borderId="0" xfId="0" applyNumberFormat="1" applyFont="1" applyFill="1" applyBorder="1" applyAlignment="1">
      <alignment horizontal="left" indent="4"/>
    </xf>
    <xf numFmtId="166" fontId="0" fillId="3" borderId="9" xfId="0" applyNumberFormat="1" applyFont="1" applyFill="1" applyBorder="1" applyAlignment="1">
      <alignment horizontal="left" indent="2"/>
    </xf>
    <xf numFmtId="167" fontId="24" fillId="3" borderId="0" xfId="0" applyNumberFormat="1" applyFont="1" applyFill="1" applyBorder="1" applyAlignment="1">
      <alignment horizontal="left" indent="2"/>
    </xf>
    <xf numFmtId="167" fontId="24" fillId="3" borderId="2" xfId="0" applyNumberFormat="1" applyFont="1" applyFill="1" applyBorder="1" applyAlignment="1">
      <alignment horizontal="left" indent="2"/>
    </xf>
    <xf numFmtId="166" fontId="0" fillId="3" borderId="2" xfId="0" applyNumberFormat="1" applyFont="1" applyFill="1" applyBorder="1" applyAlignment="1">
      <alignment horizontal="left" indent="2"/>
    </xf>
    <xf numFmtId="167" fontId="19" fillId="3" borderId="0" xfId="0" applyNumberFormat="1" applyFont="1" applyFill="1" applyAlignment="1">
      <alignment horizontal="left" indent="1"/>
    </xf>
    <xf numFmtId="178" fontId="25" fillId="3" borderId="0" xfId="0" applyNumberFormat="1" applyFont="1" applyFill="1" applyAlignment="1">
      <alignment horizontal="left"/>
    </xf>
    <xf numFmtId="164" fontId="0" fillId="3" borderId="2" xfId="0" applyNumberFormat="1" applyFill="1" applyBorder="1" applyAlignment="1">
      <alignment horizontal="left" indent="1"/>
    </xf>
    <xf numFmtId="164" fontId="0" fillId="3" borderId="0" xfId="0" applyNumberFormat="1" applyFill="1" applyAlignment="1">
      <alignment horizontal="left" indent="1"/>
    </xf>
    <xf numFmtId="167" fontId="22" fillId="3" borderId="0" xfId="0" applyNumberFormat="1" applyFont="1" applyFill="1" applyBorder="1" applyAlignment="1">
      <alignment horizontal="left"/>
    </xf>
    <xf numFmtId="166" fontId="0" fillId="3" borderId="0" xfId="0" applyNumberFormat="1" applyFont="1" applyFill="1" applyAlignment="1">
      <alignment horizontal="left" indent="1"/>
    </xf>
    <xf numFmtId="178" fontId="24" fillId="3" borderId="0" xfId="0" applyNumberFormat="1" applyFont="1" applyFill="1" applyAlignment="1">
      <alignment horizontal="left" indent="1"/>
    </xf>
    <xf numFmtId="178" fontId="24" fillId="3" borderId="2" xfId="0" applyNumberFormat="1" applyFont="1" applyFill="1" applyBorder="1" applyAlignment="1">
      <alignment horizontal="left" indent="1"/>
    </xf>
    <xf numFmtId="178" fontId="0" fillId="4" borderId="0" xfId="0" applyNumberFormat="1" applyFont="1" applyFill="1" applyBorder="1"/>
    <xf numFmtId="178" fontId="0" fillId="3" borderId="0" xfId="0" applyNumberFormat="1" applyFont="1" applyFill="1" applyBorder="1"/>
    <xf numFmtId="178" fontId="0" fillId="0" borderId="0" xfId="0" applyNumberFormat="1" applyFont="1" applyFill="1" applyBorder="1"/>
    <xf numFmtId="178" fontId="0" fillId="4" borderId="2" xfId="0" applyNumberFormat="1" applyFont="1" applyFill="1" applyBorder="1"/>
    <xf numFmtId="178" fontId="0" fillId="3" borderId="2" xfId="0" applyNumberFormat="1" applyFont="1" applyFill="1" applyBorder="1"/>
    <xf numFmtId="166" fontId="0" fillId="3" borderId="0" xfId="33" applyNumberFormat="1" applyFont="1" applyFill="1" applyBorder="1" applyAlignment="1">
      <alignment horizontal="left" indent="1"/>
      <protection/>
    </xf>
    <xf numFmtId="166" fontId="0" fillId="3" borderId="0" xfId="33" applyNumberFormat="1" applyFont="1" applyFill="1" applyBorder="1" applyAlignment="1">
      <alignment horizontal="left" indent="3"/>
      <protection/>
    </xf>
    <xf numFmtId="166" fontId="0" fillId="3" borderId="0" xfId="33" applyNumberFormat="1" applyFont="1" applyFill="1" applyBorder="1">
      <alignment/>
      <protection/>
    </xf>
    <xf numFmtId="166" fontId="0" fillId="3" borderId="2" xfId="33" applyNumberFormat="1" applyFont="1" applyFill="1" applyBorder="1" applyAlignment="1">
      <alignment horizontal="left" indent="3"/>
      <protection/>
    </xf>
    <xf numFmtId="166" fontId="9" fillId="3" borderId="0" xfId="33" applyNumberFormat="1" applyFont="1" applyFill="1" applyBorder="1">
      <alignment/>
      <protection/>
    </xf>
    <xf numFmtId="166" fontId="9" fillId="4" borderId="0" xfId="33" applyNumberFormat="1" applyFont="1" applyFill="1" applyBorder="1">
      <alignment/>
      <protection/>
    </xf>
    <xf numFmtId="166" fontId="0" fillId="0" borderId="0" xfId="33" applyNumberFormat="1" applyFont="1" applyFill="1" applyBorder="1">
      <alignment/>
      <protection/>
    </xf>
    <xf numFmtId="166" fontId="24" fillId="3" borderId="9" xfId="33" applyNumberFormat="1" applyFont="1" applyFill="1" applyBorder="1" applyAlignment="1">
      <alignment horizontal="left" indent="3"/>
      <protection/>
    </xf>
    <xf numFmtId="166" fontId="24" fillId="4" borderId="9" xfId="33" applyNumberFormat="1" applyFont="1" applyFill="1" applyBorder="1">
      <alignment/>
      <protection/>
    </xf>
    <xf numFmtId="166" fontId="24" fillId="3" borderId="9" xfId="33" applyNumberFormat="1" applyFont="1" applyFill="1" applyBorder="1">
      <alignment/>
      <protection/>
    </xf>
    <xf numFmtId="178" fontId="25" fillId="3" borderId="0" xfId="33" applyNumberFormat="1" applyFont="1" applyFill="1" applyBorder="1" applyAlignment="1">
      <alignment horizontal="left"/>
      <protection/>
    </xf>
    <xf numFmtId="178" fontId="25" fillId="3" borderId="0" xfId="33" applyNumberFormat="1" applyFont="1" applyFill="1" applyBorder="1" applyAlignment="1">
      <alignment horizontal="left" indent="3"/>
      <protection/>
    </xf>
    <xf numFmtId="178" fontId="25" fillId="4" borderId="0" xfId="33" applyNumberFormat="1" applyFont="1" applyFill="1" applyBorder="1">
      <alignment/>
      <protection/>
    </xf>
    <xf numFmtId="178" fontId="25" fillId="3" borderId="0" xfId="33" applyNumberFormat="1" applyFont="1" applyFill="1" applyBorder="1">
      <alignment/>
      <protection/>
    </xf>
    <xf numFmtId="166" fontId="24" fillId="3" borderId="9" xfId="0" applyNumberFormat="1" applyFont="1" applyFill="1" applyBorder="1" applyAlignment="1">
      <alignment horizontal="left" indent="2"/>
    </xf>
    <xf numFmtId="166" fontId="24" fillId="3" borderId="0" xfId="33" applyNumberFormat="1" applyFont="1" applyFill="1" applyBorder="1" applyAlignment="1">
      <alignment horizontal="left" indent="2"/>
      <protection/>
    </xf>
    <xf numFmtId="166" fontId="24" fillId="3" borderId="2" xfId="33" applyNumberFormat="1" applyFont="1" applyFill="1" applyBorder="1" applyAlignment="1">
      <alignment horizontal="left" indent="2"/>
      <protection/>
    </xf>
    <xf numFmtId="166" fontId="20" fillId="3" borderId="0" xfId="16" applyNumberFormat="1" applyFont="1" applyFill="1">
      <alignment/>
      <protection/>
    </xf>
    <xf numFmtId="166" fontId="24" fillId="3" borderId="0" xfId="0" applyNumberFormat="1" applyFont="1" applyFill="1" applyAlignment="1">
      <alignment horizontal="left" indent="3"/>
    </xf>
    <xf numFmtId="166" fontId="24" fillId="4" borderId="0" xfId="0" applyNumberFormat="1" applyFont="1" applyFill="1"/>
    <xf numFmtId="167" fontId="25" fillId="3" borderId="0" xfId="0" applyNumberFormat="1" applyFont="1" applyFill="1"/>
    <xf numFmtId="167" fontId="25" fillId="3" borderId="0" xfId="0" applyNumberFormat="1" applyFont="1" applyFill="1" applyAlignment="1">
      <alignment horizontal="left" indent="3"/>
    </xf>
    <xf numFmtId="167" fontId="25" fillId="4" borderId="0" xfId="0" applyNumberFormat="1" applyFont="1" applyFill="1"/>
    <xf numFmtId="166" fontId="25" fillId="3" borderId="0" xfId="0" applyNumberFormat="1" applyFont="1" applyFill="1" applyAlignment="1">
      <alignment horizontal="left"/>
    </xf>
    <xf numFmtId="166" fontId="25" fillId="3" borderId="0" xfId="33" applyNumberFormat="1" applyFont="1" applyFill="1" applyBorder="1">
      <alignment/>
      <protection/>
    </xf>
    <xf numFmtId="166" fontId="21" fillId="5" borderId="0" xfId="33" applyNumberFormat="1" applyFont="1" applyFill="1" applyBorder="1">
      <alignment/>
      <protection/>
    </xf>
    <xf numFmtId="166" fontId="21" fillId="5" borderId="0" xfId="0" applyNumberFormat="1" applyFont="1" applyFill="1" applyBorder="1"/>
    <xf numFmtId="43" fontId="24" fillId="3" borderId="0" xfId="0" applyNumberFormat="1" applyFont="1" applyFill="1" applyBorder="1" applyAlignment="1">
      <alignment horizontal="left" indent="4"/>
    </xf>
    <xf numFmtId="43" fontId="24" fillId="4" borderId="0" xfId="0" applyNumberFormat="1" applyFont="1" applyFill="1" applyBorder="1"/>
    <xf numFmtId="43" fontId="24" fillId="3" borderId="0" xfId="0" applyNumberFormat="1" applyFont="1" applyFill="1" applyBorder="1"/>
    <xf numFmtId="43" fontId="0" fillId="3" borderId="0" xfId="0" applyNumberFormat="1" applyFont="1" applyFill="1" applyBorder="1"/>
    <xf numFmtId="43" fontId="0" fillId="0" borderId="0" xfId="0" applyNumberFormat="1" applyFont="1" applyFill="1" applyBorder="1"/>
    <xf numFmtId="44" fontId="13" fillId="3" borderId="0" xfId="0" applyNumberFormat="1" applyFont="1" applyFill="1" applyBorder="1" applyAlignment="1">
      <alignment horizontal="left"/>
    </xf>
    <xf numFmtId="44" fontId="7" fillId="4" borderId="0" xfId="0" applyNumberFormat="1" applyFont="1" applyFill="1" applyBorder="1" applyAlignment="1">
      <alignment horizontal="right"/>
    </xf>
    <xf numFmtId="44" fontId="7" fillId="3" borderId="0" xfId="0" applyNumberFormat="1" applyFont="1" applyFill="1" applyBorder="1" applyAlignment="1">
      <alignment horizontal="right"/>
    </xf>
    <xf numFmtId="44" fontId="13" fillId="3" borderId="0" xfId="33" applyNumberFormat="1" applyFont="1" applyFill="1" applyBorder="1" applyAlignment="1">
      <alignment horizontal="left"/>
      <protection/>
    </xf>
    <xf numFmtId="44" fontId="25" fillId="3" borderId="0" xfId="33" applyNumberFormat="1" applyFont="1" applyFill="1" applyBorder="1" applyAlignment="1">
      <alignment horizontal="left" indent="1"/>
      <protection/>
    </xf>
    <xf numFmtId="187" fontId="20" fillId="3" borderId="21" xfId="29" applyNumberFormat="1" applyFont="1" applyFill="1" applyBorder="1" applyAlignment="1">
      <alignment horizontal="left" indent="1"/>
      <protection/>
    </xf>
    <xf numFmtId="177" fontId="2" fillId="3" borderId="0" xfId="0" applyNumberFormat="1" applyFont="1" applyFill="1" applyBorder="1" applyAlignment="1">
      <alignment horizontal="left"/>
    </xf>
    <xf numFmtId="182" fontId="3" fillId="3" borderId="0" xfId="0" applyNumberFormat="1" applyFont="1" applyFill="1" applyBorder="1" applyAlignment="1">
      <alignment horizontal="left"/>
    </xf>
    <xf numFmtId="44" fontId="6" fillId="3" borderId="0" xfId="16" applyNumberFormat="1" applyFont="1" applyFill="1" applyBorder="1" applyAlignment="1">
      <alignment horizontal="center"/>
      <protection/>
    </xf>
    <xf numFmtId="164" fontId="7" fillId="3" borderId="0" xfId="0" applyNumberFormat="1" applyFont="1" applyFill="1" applyBorder="1" applyAlignment="1">
      <alignment horizontal="center"/>
    </xf>
    <xf numFmtId="183" fontId="3" fillId="3" borderId="0" xfId="0" applyNumberFormat="1" applyFont="1" applyFill="1" applyBorder="1"/>
    <xf numFmtId="1" fontId="7" fillId="4" borderId="0" xfId="0" applyNumberFormat="1" applyFont="1" applyFill="1" applyBorder="1" applyAlignment="1">
      <alignment horizontal="center"/>
    </xf>
    <xf numFmtId="17" fontId="0" fillId="4" borderId="0" xfId="0" applyNumberFormat="1" applyFont="1" applyFill="1" applyBorder="1" applyAlignment="1">
      <alignment horizontal="center"/>
    </xf>
    <xf numFmtId="0" fontId="7" fillId="4" borderId="0" xfId="0" applyNumberFormat="1" applyFont="1" applyFill="1" applyBorder="1" applyAlignment="1">
      <alignment horizontal="center"/>
    </xf>
    <xf numFmtId="17" fontId="2" fillId="4" borderId="0" xfId="0" applyNumberFormat="1" applyFont="1" applyFill="1" applyBorder="1" applyAlignment="1">
      <alignment horizontal="center"/>
    </xf>
    <xf numFmtId="0" fontId="3" fillId="4" borderId="0" xfId="0" applyNumberFormat="1" applyFont="1" applyFill="1" applyBorder="1" applyAlignment="1">
      <alignment horizontal="center"/>
    </xf>
    <xf numFmtId="1" fontId="25" fillId="4" borderId="0" xfId="0" applyNumberFormat="1" applyFont="1" applyFill="1" applyBorder="1" applyAlignment="1">
      <alignment horizontal="center"/>
    </xf>
    <xf numFmtId="17" fontId="20" fillId="4" borderId="0" xfId="0" applyNumberFormat="1" applyFont="1" applyFill="1" applyBorder="1" applyAlignment="1">
      <alignment horizontal="center"/>
    </xf>
    <xf numFmtId="0" fontId="29" fillId="4" borderId="0" xfId="0" applyNumberFormat="1" applyFont="1" applyFill="1" applyBorder="1" applyAlignment="1">
      <alignment horizontal="center"/>
    </xf>
    <xf numFmtId="164" fontId="7" fillId="3" borderId="0" xfId="0" applyNumberFormat="1" applyFont="1" applyFill="1" applyBorder="1"/>
    <xf numFmtId="17" fontId="32" fillId="4" borderId="0" xfId="33" applyNumberFormat="1" applyFont="1" applyFill="1" applyBorder="1" applyAlignment="1">
      <alignment horizontal="center"/>
      <protection/>
    </xf>
    <xf numFmtId="164" fontId="25" fillId="4" borderId="0" xfId="33" applyNumberFormat="1" applyFont="1" applyFill="1" applyBorder="1" applyAlignment="1">
      <alignment horizontal="center"/>
      <protection/>
    </xf>
    <xf numFmtId="17" fontId="33" fillId="4" borderId="0" xfId="33" applyNumberFormat="1" applyFont="1" applyFill="1" applyBorder="1" applyAlignment="1">
      <alignment horizontal="center"/>
      <protection/>
    </xf>
    <xf numFmtId="164" fontId="29" fillId="4" borderId="0" xfId="33" applyNumberFormat="1" applyFont="1" applyFill="1" applyBorder="1" applyAlignment="1">
      <alignment horizontal="center"/>
      <protection/>
    </xf>
    <xf numFmtId="166" fontId="24" fillId="3" borderId="9" xfId="0" applyNumberFormat="1" applyFont="1" applyFill="1" applyBorder="1"/>
    <xf numFmtId="170" fontId="24" fillId="3" borderId="0" xfId="0" applyNumberFormat="1" applyFont="1" applyFill="1" applyBorder="1" applyAlignment="1">
      <alignment horizontal="right"/>
    </xf>
    <xf numFmtId="168" fontId="20" fillId="3" borderId="0" xfId="0" applyNumberFormat="1" applyFont="1" applyFill="1" applyBorder="1" applyAlignment="1">
      <alignment horizontal="center"/>
    </xf>
    <xf numFmtId="0" fontId="29" fillId="3" borderId="0" xfId="16" applyNumberFormat="1" applyFont="1" applyFill="1" applyBorder="1" applyAlignment="1">
      <alignment horizontal="center"/>
      <protection/>
    </xf>
    <xf numFmtId="167" fontId="25" fillId="3" borderId="7" xfId="0" applyNumberFormat="1" applyFont="1" applyFill="1" applyBorder="1" applyAlignment="1">
      <alignment horizontal="left" indent="4"/>
    </xf>
    <xf numFmtId="167" fontId="25" fillId="3" borderId="7" xfId="0" applyNumberFormat="1" applyFont="1" applyFill="1" applyBorder="1"/>
    <xf numFmtId="166" fontId="24" fillId="3" borderId="2" xfId="0" applyNumberFormat="1" applyFont="1" applyFill="1" applyBorder="1" applyAlignment="1">
      <alignment horizontal="left" indent="4"/>
    </xf>
    <xf numFmtId="166" fontId="24" fillId="3" borderId="9" xfId="0" applyNumberFormat="1" applyFont="1" applyFill="1" applyBorder="1" applyAlignment="1">
      <alignment horizontal="left" indent="4"/>
    </xf>
    <xf numFmtId="164" fontId="24" fillId="3" borderId="0" xfId="0" applyNumberFormat="1" applyFont="1" applyFill="1"/>
    <xf numFmtId="178" fontId="24" fillId="3" borderId="0" xfId="0" applyNumberFormat="1" applyFont="1" applyFill="1" applyBorder="1" applyAlignment="1">
      <alignment horizontal="left" indent="4"/>
    </xf>
    <xf numFmtId="178" fontId="24" fillId="3" borderId="0" xfId="0" applyNumberFormat="1" applyFont="1" applyFill="1" applyBorder="1"/>
    <xf numFmtId="178" fontId="24" fillId="3" borderId="2" xfId="0" applyNumberFormat="1" applyFont="1" applyFill="1" applyBorder="1" applyAlignment="1">
      <alignment horizontal="left" indent="4"/>
    </xf>
    <xf numFmtId="178" fontId="24" fillId="3" borderId="2" xfId="0" applyNumberFormat="1" applyFont="1" applyFill="1" applyBorder="1"/>
    <xf numFmtId="178" fontId="25" fillId="3" borderId="0" xfId="0" applyNumberFormat="1" applyFont="1" applyFill="1" applyBorder="1" applyAlignment="1">
      <alignment horizontal="left" indent="4"/>
    </xf>
    <xf numFmtId="178" fontId="25" fillId="3" borderId="0" xfId="0" applyNumberFormat="1" applyFont="1" applyFill="1" applyBorder="1" applyAlignment="1">
      <alignment horizontal="left"/>
    </xf>
    <xf numFmtId="166" fontId="24" fillId="3" borderId="7" xfId="0" applyNumberFormat="1" applyFont="1" applyFill="1" applyBorder="1" applyAlignment="1">
      <alignment horizontal="left" indent="1"/>
    </xf>
    <xf numFmtId="166" fontId="24" fillId="3" borderId="9" xfId="0" applyNumberFormat="1" applyFont="1" applyFill="1" applyBorder="1" applyAlignment="1">
      <alignment horizontal="left" indent="1"/>
    </xf>
    <xf numFmtId="166" fontId="25" fillId="3" borderId="7" xfId="0" applyNumberFormat="1" applyFont="1" applyFill="1" applyBorder="1" applyAlignment="1">
      <alignment horizontal="left" indent="1"/>
    </xf>
    <xf numFmtId="166" fontId="25" fillId="3" borderId="0" xfId="0" applyNumberFormat="1" applyFont="1" applyFill="1" applyBorder="1" applyAlignment="1">
      <alignment horizontal="left" indent="1"/>
    </xf>
    <xf numFmtId="164" fontId="24" fillId="3" borderId="7" xfId="0" applyNumberFormat="1" applyFont="1" applyFill="1" applyBorder="1" applyAlignment="1">
      <alignment horizontal="left" indent="3"/>
    </xf>
    <xf numFmtId="164" fontId="24" fillId="3" borderId="0" xfId="0" applyNumberFormat="1" applyFont="1" applyFill="1" applyBorder="1" applyAlignment="1">
      <alignment horizontal="left" indent="3"/>
    </xf>
    <xf numFmtId="164" fontId="25" fillId="3" borderId="0" xfId="0" applyNumberFormat="1" applyFont="1" applyFill="1" applyBorder="1" applyAlignment="1">
      <alignment horizontal="left"/>
    </xf>
    <xf numFmtId="164" fontId="25" fillId="3" borderId="0" xfId="0" applyNumberFormat="1" applyFont="1" applyFill="1" applyBorder="1" applyAlignment="1">
      <alignment horizontal="left" indent="3"/>
    </xf>
    <xf numFmtId="166" fontId="34" fillId="3" borderId="0" xfId="0" applyNumberFormat="1" applyFont="1" applyFill="1" applyBorder="1" applyAlignment="1">
      <alignment horizontal="left" indent="1"/>
    </xf>
    <xf numFmtId="166" fontId="24" fillId="3" borderId="9" xfId="0" applyNumberFormat="1" applyFont="1" applyFill="1" applyBorder="1" applyAlignment="1">
      <alignment horizontal="left" indent="3"/>
    </xf>
    <xf numFmtId="166" fontId="24" fillId="3" borderId="7" xfId="0" applyNumberFormat="1" applyFont="1" applyFill="1" applyBorder="1" applyAlignment="1">
      <alignment horizontal="left" indent="3"/>
    </xf>
    <xf numFmtId="166" fontId="34" fillId="3" borderId="7" xfId="0" applyNumberFormat="1" applyFont="1" applyFill="1" applyBorder="1" applyAlignment="1">
      <alignment horizontal="left" indent="1"/>
    </xf>
    <xf numFmtId="166" fontId="22" fillId="3" borderId="7" xfId="0" applyNumberFormat="1" applyFont="1" applyFill="1" applyBorder="1" applyAlignment="1">
      <alignment horizontal="left" indent="3"/>
    </xf>
    <xf numFmtId="166" fontId="22" fillId="3" borderId="7" xfId="0" applyNumberFormat="1" applyFont="1" applyFill="1" applyBorder="1"/>
    <xf numFmtId="169" fontId="25" fillId="3" borderId="0" xfId="0" applyNumberFormat="1" applyFont="1" applyFill="1" applyBorder="1" applyAlignment="1">
      <alignment horizontal="left" indent="3"/>
    </xf>
    <xf numFmtId="169" fontId="29" fillId="3" borderId="0" xfId="0" applyNumberFormat="1" applyFont="1" applyFill="1" applyBorder="1" applyAlignment="1">
      <alignment horizontal="left"/>
    </xf>
    <xf numFmtId="169" fontId="25" fillId="3" borderId="0" xfId="16" applyNumberFormat="1" applyFont="1" applyFill="1" applyBorder="1">
      <alignment/>
      <protection/>
    </xf>
    <xf numFmtId="167" fontId="22" fillId="3" borderId="0" xfId="0" applyNumberFormat="1" applyFont="1" applyFill="1" applyBorder="1" applyAlignment="1">
      <alignment horizontal="left" indent="3"/>
    </xf>
    <xf numFmtId="167" fontId="22" fillId="3" borderId="0" xfId="0" applyNumberFormat="1" applyFont="1" applyFill="1" applyBorder="1" applyAlignment="1">
      <alignment horizontal="left" indent="1"/>
    </xf>
    <xf numFmtId="44" fontId="25" fillId="3" borderId="0" xfId="0" applyNumberFormat="1" applyFont="1" applyFill="1" applyBorder="1" applyAlignment="1">
      <alignment horizontal="left" indent="3"/>
    </xf>
    <xf numFmtId="178" fontId="25" fillId="3" borderId="0" xfId="0" applyNumberFormat="1" applyFont="1" applyFill="1" applyBorder="1" applyAlignment="1">
      <alignment horizontal="left" indent="3"/>
    </xf>
    <xf numFmtId="0" fontId="24" fillId="3" borderId="0" xfId="0" applyNumberFormat="1" applyFont="1" applyFill="1" applyBorder="1" applyAlignment="1">
      <alignment horizontal="left" indent="3"/>
    </xf>
    <xf numFmtId="166" fontId="25" fillId="3" borderId="0" xfId="0" applyNumberFormat="1" applyFont="1" applyFill="1" applyAlignment="1">
      <alignment horizontal="left" indent="3"/>
    </xf>
    <xf numFmtId="0" fontId="24" fillId="3" borderId="0" xfId="0" applyFont="1" applyFill="1" applyAlignment="1">
      <alignment horizontal="left" indent="3"/>
    </xf>
    <xf numFmtId="0" fontId="24" fillId="3" borderId="0" xfId="0" applyNumberFormat="1" applyFont="1" applyFill="1"/>
    <xf numFmtId="44" fontId="25" fillId="3" borderId="0" xfId="0" applyNumberFormat="1" applyFont="1" applyFill="1" applyAlignment="1">
      <alignment horizontal="left" indent="3"/>
    </xf>
    <xf numFmtId="170" fontId="20" fillId="3" borderId="0" xfId="0" applyNumberFormat="1" applyFont="1" applyFill="1" applyBorder="1"/>
    <xf numFmtId="170" fontId="24" fillId="3" borderId="0" xfId="0" applyNumberFormat="1" applyFont="1" applyFill="1" applyBorder="1" applyAlignment="1">
      <alignment horizontal="left" indent="3"/>
    </xf>
    <xf numFmtId="170" fontId="24" fillId="3" borderId="0" xfId="0" applyNumberFormat="1" applyFont="1" applyFill="1" applyBorder="1"/>
    <xf numFmtId="184" fontId="20" fillId="3" borderId="0" xfId="16" applyNumberFormat="1" applyFont="1" applyFill="1" applyBorder="1">
      <alignment/>
      <protection/>
    </xf>
    <xf numFmtId="185" fontId="20" fillId="3" borderId="0" xfId="16" applyNumberFormat="1" applyFont="1" applyFill="1" applyBorder="1">
      <alignment/>
      <protection/>
    </xf>
    <xf numFmtId="164" fontId="24" fillId="3" borderId="0" xfId="0" applyNumberFormat="1" applyFont="1" applyFill="1" applyBorder="1" applyAlignment="1">
      <alignment horizontal="left" indent="2"/>
    </xf>
    <xf numFmtId="164" fontId="24" fillId="3" borderId="0" xfId="0" applyNumberFormat="1" applyFont="1" applyFill="1" applyBorder="1" applyAlignment="1">
      <alignment horizontal="right"/>
    </xf>
    <xf numFmtId="164" fontId="20" fillId="3" borderId="13" xfId="27" applyNumberFormat="1" applyFont="1" applyFill="1" applyBorder="1" applyAlignment="1">
      <alignment horizontal="left" indent="1"/>
      <protection/>
    </xf>
    <xf numFmtId="166" fontId="25" fillId="3" borderId="11" xfId="0" applyNumberFormat="1" applyFont="1" applyFill="1" applyBorder="1"/>
    <xf numFmtId="166" fontId="29" fillId="3" borderId="0" xfId="27" applyNumberFormat="1" applyFont="1" applyFill="1" applyBorder="1">
      <alignment/>
      <protection/>
    </xf>
    <xf numFmtId="166" fontId="24" fillId="3" borderId="11" xfId="0" applyNumberFormat="1" applyFont="1" applyFill="1" applyBorder="1"/>
    <xf numFmtId="166" fontId="20" fillId="3" borderId="0" xfId="27" applyNumberFormat="1" applyFont="1" applyFill="1" applyBorder="1">
      <alignment/>
      <protection/>
    </xf>
    <xf numFmtId="166" fontId="24" fillId="3" borderId="13" xfId="0" applyNumberFormat="1" applyFont="1" applyFill="1" applyBorder="1"/>
    <xf numFmtId="0" fontId="25" fillId="3" borderId="0" xfId="0" applyNumberFormat="1" applyFont="1" applyFill="1" applyBorder="1"/>
    <xf numFmtId="164" fontId="20" fillId="3" borderId="12" xfId="27" applyNumberFormat="1" applyFont="1" applyFill="1" applyBorder="1" applyAlignment="1">
      <alignment horizontal="left" indent="1"/>
      <protection/>
    </xf>
    <xf numFmtId="166" fontId="24" fillId="3" borderId="12" xfId="0" applyNumberFormat="1" applyFont="1" applyFill="1" applyBorder="1"/>
    <xf numFmtId="164" fontId="20" fillId="3" borderId="1" xfId="27" applyNumberFormat="1" applyFont="1" applyFill="1" applyBorder="1" applyAlignment="1">
      <alignment horizontal="left" indent="1"/>
      <protection/>
    </xf>
    <xf numFmtId="166" fontId="20" fillId="3" borderId="13" xfId="27" applyNumberFormat="1" applyFont="1" applyFill="1" applyBorder="1">
      <alignment/>
      <protection/>
    </xf>
    <xf numFmtId="167" fontId="25" fillId="4" borderId="7" xfId="0" applyNumberFormat="1" applyFont="1" applyFill="1" applyBorder="1"/>
    <xf numFmtId="178" fontId="24" fillId="4" borderId="0" xfId="0" applyNumberFormat="1" applyFont="1" applyFill="1" applyBorder="1"/>
    <xf numFmtId="178" fontId="24" fillId="4" borderId="2" xfId="0" applyNumberFormat="1" applyFont="1" applyFill="1" applyBorder="1"/>
    <xf numFmtId="166" fontId="22" fillId="4" borderId="7" xfId="0" applyNumberFormat="1" applyFont="1" applyFill="1" applyBorder="1"/>
    <xf numFmtId="169" fontId="25" fillId="4" borderId="0" xfId="16" applyNumberFormat="1" applyFont="1" applyFill="1" applyBorder="1" applyAlignment="1">
      <alignment horizontal="right" indent="1"/>
      <protection/>
    </xf>
    <xf numFmtId="0" fontId="24" fillId="4" borderId="0" xfId="0" applyNumberFormat="1" applyFont="1" applyFill="1" applyBorder="1"/>
    <xf numFmtId="169" fontId="25" fillId="4" borderId="0" xfId="16" applyNumberFormat="1" applyFont="1" applyFill="1" applyBorder="1">
      <alignment/>
      <protection/>
    </xf>
    <xf numFmtId="0" fontId="24" fillId="4" borderId="0" xfId="0" applyNumberFormat="1" applyFont="1" applyFill="1"/>
    <xf numFmtId="0" fontId="25" fillId="3" borderId="6" xfId="0" applyNumberFormat="1" applyFont="1" applyFill="1" applyBorder="1"/>
    <xf numFmtId="166" fontId="20" fillId="3" borderId="4" xfId="27" applyNumberFormat="1" applyFont="1" applyFill="1" applyBorder="1">
      <alignment/>
      <protection/>
    </xf>
    <xf numFmtId="166" fontId="20" fillId="3" borderId="1" xfId="27" applyNumberFormat="1" applyFont="1" applyFill="1" applyBorder="1">
      <alignment/>
      <protection/>
    </xf>
    <xf numFmtId="0" fontId="24" fillId="3" borderId="22" xfId="0" applyNumberFormat="1" applyFont="1" applyFill="1" applyBorder="1"/>
    <xf numFmtId="166" fontId="24" fillId="3" borderId="22" xfId="0" applyNumberFormat="1" applyFont="1" applyFill="1" applyBorder="1"/>
    <xf numFmtId="166" fontId="25" fillId="3" borderId="22" xfId="0" applyNumberFormat="1" applyFont="1" applyFill="1" applyBorder="1"/>
    <xf numFmtId="166" fontId="21" fillId="5" borderId="22" xfId="0" applyNumberFormat="1" applyFont="1" applyFill="1" applyBorder="1"/>
    <xf numFmtId="166" fontId="20" fillId="2" borderId="22" xfId="24" applyNumberFormat="1" applyFont="1" applyFill="1" applyBorder="1" applyAlignment="1">
      <alignment horizontal="right"/>
      <protection/>
    </xf>
    <xf numFmtId="0" fontId="25" fillId="3" borderId="22" xfId="0" applyNumberFormat="1" applyFont="1" applyFill="1" applyBorder="1"/>
    <xf numFmtId="166" fontId="24" fillId="3" borderId="23" xfId="0" applyNumberFormat="1" applyFont="1" applyFill="1" applyBorder="1"/>
    <xf numFmtId="164" fontId="24" fillId="3" borderId="24" xfId="0" applyNumberFormat="1" applyFont="1" applyFill="1" applyBorder="1"/>
    <xf numFmtId="164" fontId="24" fillId="3" borderId="25" xfId="0" applyNumberFormat="1" applyFont="1" applyFill="1" applyBorder="1"/>
    <xf numFmtId="164" fontId="24" fillId="3" borderId="26" xfId="0" applyNumberFormat="1" applyFont="1" applyFill="1" applyBorder="1"/>
    <xf numFmtId="184" fontId="24" fillId="3" borderId="22" xfId="0" applyNumberFormat="1" applyFont="1" applyFill="1" applyBorder="1"/>
    <xf numFmtId="164" fontId="30" fillId="5" borderId="22" xfId="33" applyNumberFormat="1" applyFont="1" applyFill="1" applyBorder="1">
      <alignment/>
      <protection/>
    </xf>
    <xf numFmtId="167" fontId="31" fillId="5" borderId="22" xfId="33" applyNumberFormat="1" applyFont="1" applyFill="1" applyBorder="1">
      <alignment/>
      <protection/>
    </xf>
    <xf numFmtId="166" fontId="24" fillId="3" borderId="0" xfId="0" applyNumberFormat="1" applyFont="1" applyFill="1" applyAlignment="1">
      <alignment horizontal="left" indent="2"/>
    </xf>
    <xf numFmtId="166" fontId="24" fillId="3" borderId="2" xfId="0" applyNumberFormat="1" applyFont="1" applyFill="1" applyBorder="1" applyAlignment="1">
      <alignment horizontal="left" indent="2"/>
    </xf>
    <xf numFmtId="166" fontId="24" fillId="3" borderId="0" xfId="0" applyNumberFormat="1" applyFont="1" applyFill="1" applyAlignment="1">
      <alignment horizontal="left" indent="1"/>
    </xf>
    <xf numFmtId="167" fontId="25" fillId="3" borderId="0" xfId="0" applyNumberFormat="1" applyFont="1" applyFill="1" applyAlignment="1">
      <alignment horizontal="left"/>
    </xf>
    <xf numFmtId="44" fontId="29" fillId="3" borderId="0" xfId="16" applyFont="1" applyFill="1">
      <alignment/>
      <protection/>
    </xf>
    <xf numFmtId="166" fontId="24" fillId="3" borderId="0" xfId="0" applyNumberFormat="1" applyFont="1" applyFill="1" applyAlignment="1">
      <alignment horizontal="left"/>
    </xf>
    <xf numFmtId="166" fontId="24" fillId="3" borderId="0" xfId="0" applyNumberFormat="1" applyFont="1" applyFill="1"/>
    <xf numFmtId="166" fontId="25" fillId="3" borderId="0" xfId="0" applyNumberFormat="1" applyFont="1" applyFill="1"/>
    <xf numFmtId="166" fontId="25" fillId="4" borderId="0" xfId="0" applyNumberFormat="1" applyFont="1" applyFill="1"/>
    <xf numFmtId="44" fontId="25" fillId="4" borderId="0" xfId="0" applyNumberFormat="1" applyFont="1" applyFill="1"/>
    <xf numFmtId="188" fontId="24" fillId="3" borderId="0" xfId="0" applyNumberFormat="1" applyFont="1" applyFill="1" applyBorder="1"/>
    <xf numFmtId="43" fontId="24" fillId="3" borderId="0" xfId="0" applyNumberFormat="1" applyFont="1" applyFill="1" applyBorder="1" applyAlignment="1">
      <alignment horizontal="left" indent="1"/>
    </xf>
    <xf numFmtId="17" fontId="20" fillId="3" borderId="0" xfId="27" applyNumberFormat="1" applyFont="1" applyFill="1" applyBorder="1">
      <alignment/>
      <protection/>
    </xf>
    <xf numFmtId="17" fontId="24" fillId="3" borderId="0" xfId="0" applyNumberFormat="1" applyFont="1" applyFill="1" applyBorder="1"/>
    <xf numFmtId="17" fontId="24" fillId="3" borderId="22" xfId="0" applyNumberFormat="1" applyFont="1" applyFill="1" applyBorder="1"/>
    <xf numFmtId="17" fontId="24" fillId="3" borderId="10" xfId="0" applyNumberFormat="1" applyFont="1" applyFill="1" applyBorder="1"/>
    <xf numFmtId="189" fontId="20" fillId="3" borderId="0" xfId="27" applyNumberFormat="1" applyFont="1" applyFill="1" applyBorder="1">
      <alignment/>
      <protection/>
    </xf>
    <xf numFmtId="189" fontId="24" fillId="3" borderId="0" xfId="0" applyNumberFormat="1" applyFont="1" applyFill="1" applyBorder="1"/>
    <xf numFmtId="189" fontId="24" fillId="3" borderId="10" xfId="0" applyNumberFormat="1" applyFont="1" applyFill="1" applyBorder="1"/>
    <xf numFmtId="185" fontId="20" fillId="3" borderId="0" xfId="27" applyNumberFormat="1" applyFont="1" applyFill="1" applyBorder="1">
      <alignment/>
      <protection/>
    </xf>
    <xf numFmtId="185" fontId="24" fillId="3" borderId="0" xfId="0" applyNumberFormat="1" applyFont="1" applyFill="1" applyBorder="1"/>
    <xf numFmtId="185" fontId="24" fillId="3" borderId="22" xfId="0" applyNumberFormat="1" applyFont="1" applyFill="1" applyBorder="1"/>
    <xf numFmtId="185" fontId="24" fillId="3" borderId="10" xfId="0" applyNumberFormat="1" applyFont="1" applyFill="1" applyBorder="1"/>
    <xf numFmtId="164" fontId="20" fillId="3" borderId="27" xfId="27" applyNumberFormat="1" applyFont="1" applyFill="1" applyBorder="1" applyAlignment="1">
      <alignment horizontal="left" indent="1"/>
      <protection/>
    </xf>
    <xf numFmtId="185" fontId="20" fillId="3" borderId="2" xfId="27" applyNumberFormat="1" applyFont="1" applyFill="1" applyBorder="1">
      <alignment/>
      <protection/>
    </xf>
    <xf numFmtId="185" fontId="24" fillId="3" borderId="2" xfId="0" applyNumberFormat="1" applyFont="1" applyFill="1" applyBorder="1"/>
    <xf numFmtId="185" fontId="24" fillId="3" borderId="24" xfId="0" applyNumberFormat="1" applyFont="1" applyFill="1" applyBorder="1"/>
    <xf numFmtId="185" fontId="24" fillId="3" borderId="28" xfId="0" applyNumberFormat="1" applyFont="1" applyFill="1" applyBorder="1"/>
    <xf numFmtId="189" fontId="0" fillId="4" borderId="0" xfId="0" applyNumberFormat="1" applyFont="1" applyFill="1" applyBorder="1" applyAlignment="1">
      <alignment horizontal="right"/>
    </xf>
    <xf numFmtId="189" fontId="0" fillId="3" borderId="0" xfId="0" applyNumberFormat="1" applyFont="1" applyFill="1" applyBorder="1" applyAlignment="1">
      <alignment horizontal="right"/>
    </xf>
    <xf numFmtId="189" fontId="24" fillId="4" borderId="0" xfId="0" applyNumberFormat="1" applyFont="1" applyFill="1" applyBorder="1"/>
    <xf numFmtId="185" fontId="0" fillId="4" borderId="0" xfId="0" applyNumberFormat="1" applyFont="1" applyFill="1" applyBorder="1" applyAlignment="1">
      <alignment horizontal="right"/>
    </xf>
    <xf numFmtId="185" fontId="0" fillId="3" borderId="0" xfId="0" applyNumberFormat="1" applyFont="1" applyFill="1" applyBorder="1" applyAlignment="1">
      <alignment horizontal="right"/>
    </xf>
    <xf numFmtId="185" fontId="24" fillId="4" borderId="0" xfId="0" applyNumberFormat="1" applyFont="1" applyFill="1" applyBorder="1"/>
    <xf numFmtId="167" fontId="21" fillId="5" borderId="22" xfId="0" applyNumberFormat="1" applyFont="1" applyFill="1" applyBorder="1"/>
    <xf numFmtId="164" fontId="24" fillId="3" borderId="0" xfId="0" applyNumberFormat="1" applyFont="1" applyFill="1" applyBorder="1" applyAlignment="1">
      <alignment horizontal="left"/>
    </xf>
    <xf numFmtId="166" fontId="21" fillId="5" borderId="0" xfId="0" applyNumberFormat="1" applyFont="1" applyFill="1" applyBorder="1" applyAlignment="1">
      <alignment horizontal="left"/>
    </xf>
    <xf numFmtId="166" fontId="21" fillId="5" borderId="0" xfId="0" applyNumberFormat="1" applyFont="1" applyFill="1" applyBorder="1" applyAlignment="1">
      <alignment horizontal="left" indent="3"/>
    </xf>
    <xf numFmtId="190" fontId="24" fillId="4" borderId="0" xfId="0" applyNumberFormat="1" applyFont="1" applyFill="1" applyBorder="1"/>
    <xf numFmtId="190" fontId="24" fillId="3" borderId="0" xfId="0" applyNumberFormat="1" applyFont="1" applyFill="1" applyBorder="1"/>
    <xf numFmtId="173" fontId="25" fillId="3" borderId="0" xfId="16" applyNumberFormat="1" applyFont="1" applyFill="1" applyBorder="1">
      <alignment/>
      <protection/>
    </xf>
    <xf numFmtId="166" fontId="27" fillId="4" borderId="0" xfId="33" applyNumberFormat="1" applyFont="1" applyFill="1" applyBorder="1">
      <alignment/>
      <protection/>
    </xf>
    <xf numFmtId="169" fontId="7" fillId="4" borderId="0" xfId="0" applyNumberFormat="1" applyFont="1" applyFill="1" applyBorder="1"/>
    <xf numFmtId="191" fontId="7" fillId="3" borderId="0" xfId="0" applyNumberFormat="1" applyFont="1" applyFill="1" applyBorder="1" applyAlignment="1">
      <alignment horizontal="left"/>
    </xf>
    <xf numFmtId="166" fontId="0" fillId="3" borderId="2" xfId="33" applyNumberFormat="1" applyFont="1" applyFill="1" applyBorder="1" applyAlignment="1">
      <alignment horizontal="left" indent="1"/>
      <protection/>
    </xf>
    <xf numFmtId="166" fontId="0" fillId="4" borderId="2" xfId="33" applyNumberFormat="1" applyFont="1" applyFill="1" applyBorder="1">
      <alignment/>
      <protection/>
    </xf>
    <xf numFmtId="166" fontId="0" fillId="3" borderId="2" xfId="33" applyNumberFormat="1" applyFont="1" applyFill="1" applyBorder="1">
      <alignment/>
      <protection/>
    </xf>
    <xf numFmtId="166" fontId="9" fillId="3" borderId="2" xfId="33" applyNumberFormat="1" applyFont="1" applyFill="1" applyBorder="1">
      <alignment/>
      <protection/>
    </xf>
    <xf numFmtId="166" fontId="0" fillId="4" borderId="0" xfId="33" applyNumberFormat="1" applyFont="1" applyFill="1" applyBorder="1">
      <alignment/>
      <protection/>
    </xf>
    <xf numFmtId="166" fontId="9" fillId="4" borderId="2" xfId="33" applyNumberFormat="1" applyFont="1" applyFill="1" applyBorder="1">
      <alignment/>
      <protection/>
    </xf>
    <xf numFmtId="44" fontId="13" fillId="4" borderId="0" xfId="0" applyNumberFormat="1" applyFont="1" applyFill="1" applyBorder="1"/>
    <xf numFmtId="166" fontId="24" fillId="4" borderId="7" xfId="0" applyNumberFormat="1" applyFont="1" applyFill="1" applyBorder="1"/>
    <xf numFmtId="166" fontId="24" fillId="3" borderId="7" xfId="0" applyNumberFormat="1" applyFont="1" applyFill="1" applyBorder="1"/>
    <xf numFmtId="44" fontId="25" fillId="3" borderId="0" xfId="0" applyNumberFormat="1" applyFont="1" applyFill="1" applyBorder="1" applyAlignment="1">
      <alignment horizontal="right"/>
    </xf>
    <xf numFmtId="184" fontId="24" fillId="3" borderId="0" xfId="0" applyNumberFormat="1" applyFont="1" applyFill="1" applyBorder="1" applyAlignment="1">
      <alignment horizontal="right"/>
    </xf>
    <xf numFmtId="189" fontId="24" fillId="3" borderId="0" xfId="0" applyNumberFormat="1" applyFont="1" applyFill="1" applyBorder="1" applyAlignment="1">
      <alignment horizontal="right"/>
    </xf>
    <xf numFmtId="185" fontId="24" fillId="3" borderId="0" xfId="0" applyNumberFormat="1" applyFont="1" applyFill="1" applyBorder="1" applyAlignment="1">
      <alignment horizontal="right"/>
    </xf>
    <xf numFmtId="166" fontId="27" fillId="3" borderId="2" xfId="0" applyNumberFormat="1" applyFont="1" applyFill="1" applyBorder="1"/>
    <xf numFmtId="178" fontId="27" fillId="3" borderId="0" xfId="0" applyNumberFormat="1" applyFont="1" applyFill="1" applyBorder="1"/>
    <xf numFmtId="178" fontId="27" fillId="3" borderId="2" xfId="0" applyNumberFormat="1" applyFont="1" applyFill="1" applyBorder="1"/>
    <xf numFmtId="178" fontId="26" fillId="3" borderId="0" xfId="0" applyNumberFormat="1" applyFont="1" applyFill="1" applyBorder="1"/>
    <xf numFmtId="167" fontId="26" fillId="3" borderId="0" xfId="0" applyNumberFormat="1" applyFont="1" applyFill="1" applyBorder="1"/>
    <xf numFmtId="164" fontId="7" fillId="0" borderId="0" xfId="0" applyNumberFormat="1" applyFont="1" applyFill="1"/>
    <xf numFmtId="166" fontId="0" fillId="0" borderId="0" xfId="0" applyNumberFormat="1" applyFill="1"/>
    <xf numFmtId="166" fontId="7" fillId="0" borderId="0" xfId="0" applyNumberFormat="1" applyFont="1" applyFill="1"/>
    <xf numFmtId="0" fontId="0" fillId="0" borderId="0" xfId="0" applyFill="1"/>
    <xf numFmtId="167" fontId="7" fillId="0" borderId="0" xfId="0" applyNumberFormat="1" applyFont="1" applyFill="1"/>
    <xf numFmtId="44" fontId="7" fillId="0" borderId="0" xfId="0" applyNumberFormat="1" applyFont="1" applyFill="1"/>
    <xf numFmtId="164" fontId="20" fillId="3" borderId="0" xfId="27" applyNumberFormat="1" applyFont="1" applyFill="1" applyBorder="1" applyAlignment="1">
      <alignment horizontal="left" indent="1"/>
      <protection/>
    </xf>
    <xf numFmtId="164" fontId="29" fillId="3" borderId="6" xfId="27" applyNumberFormat="1" applyFont="1" applyFill="1" applyBorder="1" applyAlignment="1">
      <alignment horizontal="left"/>
      <protection/>
    </xf>
    <xf numFmtId="164" fontId="20" fillId="3" borderId="4" xfId="27" applyNumberFormat="1" applyFont="1" applyFill="1" applyBorder="1" applyAlignment="1">
      <alignment horizontal="left" indent="1"/>
      <protection/>
    </xf>
    <xf numFmtId="166" fontId="27" fillId="4" borderId="0" xfId="0" applyNumberFormat="1" applyFont="1" applyFill="1" applyBorder="1"/>
    <xf numFmtId="166" fontId="27" fillId="4" borderId="2" xfId="0" applyNumberFormat="1" applyFont="1" applyFill="1" applyBorder="1"/>
    <xf numFmtId="178" fontId="27" fillId="4" borderId="0" xfId="0" applyNumberFormat="1" applyFont="1" applyFill="1" applyBorder="1"/>
    <xf numFmtId="178" fontId="27" fillId="4" borderId="2" xfId="0" applyNumberFormat="1" applyFont="1" applyFill="1" applyBorder="1"/>
    <xf numFmtId="166" fontId="24" fillId="3" borderId="24" xfId="0" applyNumberFormat="1" applyFont="1" applyFill="1" applyBorder="1"/>
    <xf numFmtId="0" fontId="22" fillId="3" borderId="0" xfId="0" applyNumberFormat="1" applyFont="1" applyFill="1" applyBorder="1"/>
    <xf numFmtId="164" fontId="19" fillId="3" borderId="0" xfId="0" applyNumberFormat="1" applyFont="1" applyFill="1" applyBorder="1" applyAlignment="1">
      <alignment horizontal="left" indent="1"/>
    </xf>
    <xf numFmtId="164" fontId="22" fillId="3" borderId="0" xfId="0" applyNumberFormat="1" applyFont="1" applyFill="1" applyBorder="1" applyAlignment="1">
      <alignment horizontal="left" indent="3"/>
    </xf>
    <xf numFmtId="167" fontId="19" fillId="4" borderId="0" xfId="33" applyNumberFormat="1" applyFont="1" applyFill="1" applyBorder="1">
      <alignment/>
      <protection/>
    </xf>
    <xf numFmtId="167" fontId="19" fillId="3" borderId="0" xfId="33" applyNumberFormat="1" applyFont="1" applyFill="1" applyBorder="1">
      <alignment/>
      <protection/>
    </xf>
    <xf numFmtId="167" fontId="22" fillId="3" borderId="0" xfId="0" applyNumberFormat="1" applyFont="1" applyFill="1" applyBorder="1"/>
    <xf numFmtId="167" fontId="22" fillId="4" borderId="0" xfId="0" applyNumberFormat="1" applyFont="1" applyFill="1" applyBorder="1"/>
    <xf numFmtId="167" fontId="35" fillId="3" borderId="0" xfId="0" applyNumberFormat="1" applyFont="1" applyFill="1" applyBorder="1"/>
    <xf numFmtId="167" fontId="35" fillId="4" borderId="0" xfId="0" applyNumberFormat="1" applyFont="1" applyFill="1" applyBorder="1"/>
    <xf numFmtId="164" fontId="19" fillId="3" borderId="2" xfId="0" applyNumberFormat="1" applyFont="1" applyFill="1" applyBorder="1" applyAlignment="1">
      <alignment horizontal="left" indent="1"/>
    </xf>
    <xf numFmtId="164" fontId="22" fillId="3" borderId="2" xfId="0" applyNumberFormat="1" applyFont="1" applyFill="1" applyBorder="1" applyAlignment="1">
      <alignment horizontal="left" indent="3"/>
    </xf>
    <xf numFmtId="167" fontId="22" fillId="3" borderId="2" xfId="0" applyNumberFormat="1" applyFont="1" applyFill="1" applyBorder="1"/>
    <xf numFmtId="167" fontId="22" fillId="4" borderId="2" xfId="0" applyNumberFormat="1" applyFont="1" applyFill="1" applyBorder="1"/>
    <xf numFmtId="164" fontId="19" fillId="3" borderId="0" xfId="0" applyNumberFormat="1" applyFont="1" applyFill="1" applyBorder="1"/>
    <xf numFmtId="166" fontId="22" fillId="3" borderId="0" xfId="0" applyNumberFormat="1" applyFont="1" applyFill="1" applyBorder="1" applyAlignment="1">
      <alignment horizontal="left" indent="1"/>
    </xf>
    <xf numFmtId="192" fontId="22" fillId="4" borderId="0" xfId="0" applyNumberFormat="1" applyFont="1" applyFill="1" applyBorder="1"/>
    <xf numFmtId="192" fontId="22" fillId="3" borderId="0" xfId="0" applyNumberFormat="1" applyFont="1" applyFill="1" applyBorder="1"/>
    <xf numFmtId="192" fontId="35" fillId="3" borderId="0" xfId="0" applyNumberFormat="1" applyFont="1" applyFill="1" applyBorder="1"/>
    <xf numFmtId="192" fontId="35" fillId="4" borderId="0" xfId="0" applyNumberFormat="1" applyFont="1" applyFill="1" applyBorder="1"/>
    <xf numFmtId="164" fontId="24" fillId="3" borderId="0" xfId="33" applyNumberFormat="1" applyFont="1" applyFill="1" applyBorder="1" applyAlignment="1">
      <alignment horizontal="left"/>
      <protection/>
    </xf>
    <xf numFmtId="164" fontId="24" fillId="3" borderId="2" xfId="33" applyNumberFormat="1" applyFont="1" applyFill="1" applyBorder="1" applyAlignment="1">
      <alignment horizontal="left" indent="1"/>
      <protection/>
    </xf>
    <xf numFmtId="167" fontId="22" fillId="3" borderId="0" xfId="33" applyNumberFormat="1" applyFont="1" applyFill="1" applyBorder="1">
      <alignment/>
      <protection/>
    </xf>
    <xf numFmtId="167" fontId="22" fillId="3" borderId="2" xfId="33" applyNumberFormat="1" applyFont="1" applyFill="1" applyBorder="1">
      <alignment/>
      <protection/>
    </xf>
    <xf numFmtId="167" fontId="22" fillId="4" borderId="0" xfId="33" applyNumberFormat="1" applyFont="1" applyFill="1" applyBorder="1">
      <alignment/>
      <protection/>
    </xf>
    <xf numFmtId="167" fontId="22" fillId="4" borderId="2" xfId="33" applyNumberFormat="1" applyFont="1" applyFill="1" applyBorder="1">
      <alignment/>
      <protection/>
    </xf>
    <xf numFmtId="44" fontId="24" fillId="3" borderId="2" xfId="33" applyNumberFormat="1" applyFont="1" applyFill="1" applyBorder="1" applyAlignment="1">
      <alignment horizontal="left"/>
      <protection/>
    </xf>
    <xf numFmtId="166" fontId="20" fillId="3" borderId="7" xfId="27" applyNumberFormat="1" applyFont="1" applyFill="1" applyBorder="1">
      <alignment/>
      <protection/>
    </xf>
    <xf numFmtId="166" fontId="24" fillId="3" borderId="29" xfId="0" applyNumberFormat="1" applyFont="1" applyFill="1" applyBorder="1"/>
    <xf numFmtId="166" fontId="24" fillId="3" borderId="6" xfId="0" applyNumberFormat="1" applyFont="1" applyFill="1" applyBorder="1"/>
    <xf numFmtId="166" fontId="20" fillId="3" borderId="2" xfId="27" applyNumberFormat="1" applyFont="1" applyFill="1" applyBorder="1">
      <alignment/>
      <protection/>
    </xf>
    <xf numFmtId="166" fontId="24" fillId="3" borderId="1" xfId="0" applyNumberFormat="1" applyFont="1" applyFill="1" applyBorder="1"/>
    <xf numFmtId="164" fontId="29" fillId="3" borderId="7" xfId="27" applyNumberFormat="1" applyFont="1" applyFill="1" applyBorder="1" applyAlignment="1">
      <alignment horizontal="left"/>
      <protection/>
    </xf>
    <xf numFmtId="164" fontId="29" fillId="3" borderId="0" xfId="27" applyNumberFormat="1" applyFont="1" applyFill="1" applyBorder="1" applyAlignment="1">
      <alignment horizontal="left"/>
      <protection/>
    </xf>
    <xf numFmtId="164" fontId="29" fillId="3" borderId="2" xfId="27" applyNumberFormat="1" applyFont="1" applyFill="1" applyBorder="1" applyAlignment="1">
      <alignment horizontal="left"/>
      <protection/>
    </xf>
    <xf numFmtId="193" fontId="29" fillId="3" borderId="0" xfId="27" applyNumberFormat="1" applyFont="1" applyFill="1" applyBorder="1" applyAlignment="1">
      <alignment horizontal="right"/>
      <protection/>
    </xf>
    <xf numFmtId="193" fontId="25" fillId="3" borderId="0" xfId="0" applyNumberFormat="1" applyFont="1" applyFill="1" applyBorder="1" applyAlignment="1">
      <alignment horizontal="right"/>
    </xf>
    <xf numFmtId="193" fontId="25" fillId="3" borderId="22" xfId="0" applyNumberFormat="1" applyFont="1" applyFill="1" applyBorder="1" applyAlignment="1">
      <alignment horizontal="right"/>
    </xf>
    <xf numFmtId="193" fontId="25" fillId="3" borderId="4" xfId="0" applyNumberFormat="1" applyFont="1" applyFill="1" applyBorder="1" applyAlignment="1">
      <alignment horizontal="right"/>
    </xf>
    <xf numFmtId="0" fontId="29" fillId="3" borderId="0" xfId="27" applyNumberFormat="1" applyFont="1" applyFill="1" applyBorder="1" applyAlignment="1">
      <alignment horizontal="right"/>
      <protection/>
    </xf>
    <xf numFmtId="0" fontId="25" fillId="3" borderId="0" xfId="0" applyNumberFormat="1" applyFont="1" applyFill="1" applyBorder="1" applyAlignment="1">
      <alignment horizontal="right"/>
    </xf>
    <xf numFmtId="0" fontId="25" fillId="3" borderId="22" xfId="0" applyNumberFormat="1" applyFont="1" applyFill="1" applyBorder="1" applyAlignment="1">
      <alignment horizontal="right"/>
    </xf>
    <xf numFmtId="0" fontId="25" fillId="3" borderId="4" xfId="0" applyNumberFormat="1" applyFont="1" applyFill="1" applyBorder="1" applyAlignment="1">
      <alignment horizontal="right"/>
    </xf>
    <xf numFmtId="0" fontId="2" fillId="3" borderId="0" xfId="30" applyNumberFormat="1" applyFont="1" applyFill="1" applyBorder="1">
      <alignment/>
      <protection/>
    </xf>
    <xf numFmtId="0" fontId="12" fillId="3" borderId="0" xfId="30" applyNumberFormat="1" applyFont="1" applyFill="1" applyBorder="1" applyAlignment="1">
      <alignment vertical="center"/>
      <protection/>
    </xf>
    <xf numFmtId="0" fontId="17" fillId="3" borderId="0" xfId="30" applyNumberFormat="1" applyFont="1" applyFill="1" applyBorder="1" applyAlignment="1">
      <alignment vertical="center"/>
      <protection/>
    </xf>
    <xf numFmtId="0" fontId="2" fillId="3" borderId="0" xfId="30" applyNumberFormat="1" applyFont="1" applyFill="1" applyBorder="1" applyAlignment="1">
      <alignment vertical="center"/>
      <protection/>
    </xf>
    <xf numFmtId="0" fontId="17" fillId="3" borderId="0" xfId="30" applyNumberFormat="1" applyFont="1" applyFill="1" applyBorder="1" applyAlignment="1">
      <alignment horizontal="center" vertical="center"/>
      <protection/>
    </xf>
    <xf numFmtId="0" fontId="12" fillId="3" borderId="0" xfId="30" applyNumberFormat="1" applyFont="1" applyFill="1" applyBorder="1">
      <alignment/>
      <protection/>
    </xf>
    <xf numFmtId="14" fontId="12" fillId="3" borderId="0" xfId="30" applyNumberFormat="1" applyFont="1" applyFill="1" applyBorder="1" applyAlignment="1">
      <alignment horizontal="center" vertical="center"/>
      <protection/>
    </xf>
    <xf numFmtId="0" fontId="12" fillId="3" borderId="0" xfId="30" applyNumberFormat="1" applyFont="1" applyFill="1" applyBorder="1" applyAlignment="1">
      <alignment horizontal="center"/>
      <protection/>
    </xf>
    <xf numFmtId="0" fontId="16" fillId="3" borderId="0" xfId="30" applyNumberFormat="1" applyFont="1" applyFill="1" applyBorder="1">
      <alignment/>
      <protection/>
    </xf>
    <xf numFmtId="0" fontId="15" fillId="3" borderId="0" xfId="30" applyNumberFormat="1" applyFont="1" applyFill="1" applyBorder="1">
      <alignment/>
      <protection/>
    </xf>
    <xf numFmtId="0" fontId="28" fillId="3" borderId="0" xfId="30" applyNumberFormat="1" applyFont="1" applyFill="1" applyBorder="1" applyAlignment="1">
      <alignment horizontal="center"/>
      <protection/>
    </xf>
    <xf numFmtId="1" fontId="15" fillId="3" borderId="0" xfId="30" applyNumberFormat="1" applyFont="1" applyFill="1" applyBorder="1" applyAlignment="1">
      <alignment horizontal="center"/>
      <protection/>
    </xf>
    <xf numFmtId="0" fontId="16" fillId="3" borderId="0" xfId="30" applyNumberFormat="1" applyFont="1" applyFill="1" applyBorder="1" quotePrefix="1">
      <alignment/>
      <protection/>
    </xf>
    <xf numFmtId="0" fontId="17" fillId="3" borderId="0" xfId="30" applyNumberFormat="1" applyFont="1" applyFill="1" applyBorder="1">
      <alignment/>
      <protection/>
    </xf>
    <xf numFmtId="188" fontId="15" fillId="3" borderId="0" xfId="30" applyNumberFormat="1" applyFont="1" applyFill="1" applyBorder="1">
      <alignment/>
      <protection/>
    </xf>
    <xf numFmtId="186" fontId="17" fillId="3" borderId="0" xfId="30" applyNumberFormat="1" applyFont="1" applyFill="1" applyBorder="1" applyAlignment="1">
      <alignment horizontal="center" vertical="center"/>
      <protection/>
    </xf>
    <xf numFmtId="180" fontId="3" fillId="3" borderId="0" xfId="32" applyNumberFormat="1" applyFont="1" applyFill="1" applyBorder="1" applyAlignment="1">
      <alignment horizontal="right"/>
      <protection/>
    </xf>
    <xf numFmtId="181" fontId="3" fillId="3" borderId="0" xfId="32" applyNumberFormat="1" applyFont="1" applyFill="1" applyBorder="1" applyAlignment="1">
      <alignment horizontal="right"/>
      <protection/>
    </xf>
    <xf numFmtId="14" fontId="8" fillId="3" borderId="30" xfId="32" applyNumberFormat="1" applyFont="1" applyFill="1" applyBorder="1" applyAlignment="1">
      <alignment horizontal="center"/>
      <protection/>
    </xf>
    <xf numFmtId="0" fontId="8" fillId="3" borderId="30" xfId="32" applyNumberFormat="1" applyFont="1" applyFill="1" applyBorder="1" applyAlignment="1">
      <alignment horizontal="center"/>
      <protection/>
    </xf>
    <xf numFmtId="0" fontId="2" fillId="3" borderId="30" xfId="32" applyNumberFormat="1" applyFont="1" applyFill="1" applyBorder="1" applyAlignment="1">
      <alignment horizontal="center"/>
      <protection/>
    </xf>
    <xf numFmtId="0" fontId="8" fillId="3" borderId="30" xfId="32" applyNumberFormat="1" applyFont="1" applyFill="1" applyBorder="1" applyAlignment="1">
      <alignment horizontal="left"/>
      <protection/>
    </xf>
    <xf numFmtId="0" fontId="4" fillId="3" borderId="31" xfId="25" applyFill="1" applyBorder="1">
      <alignment/>
      <protection/>
    </xf>
    <xf numFmtId="0" fontId="4" fillId="3" borderId="21" xfId="25" applyFill="1" applyBorder="1">
      <alignment/>
      <protection/>
    </xf>
    <xf numFmtId="0" fontId="4" fillId="3" borderId="30" xfId="25" applyFill="1" applyBorder="1">
      <alignment/>
      <protection/>
    </xf>
    <xf numFmtId="14" fontId="8" fillId="3" borderId="32" xfId="32" applyNumberFormat="1" applyFont="1" applyFill="1" applyBorder="1" applyAlignment="1">
      <alignment horizontal="center"/>
      <protection/>
    </xf>
    <xf numFmtId="0" fontId="8" fillId="3" borderId="31" xfId="32" applyNumberFormat="1" applyFont="1" applyFill="1" applyBorder="1" applyAlignment="1">
      <alignment horizontal="center"/>
      <protection/>
    </xf>
    <xf numFmtId="0" fontId="2" fillId="3" borderId="31" xfId="32" applyNumberFormat="1" applyFont="1" applyFill="1" applyBorder="1" applyAlignment="1">
      <alignment horizontal="center"/>
      <protection/>
    </xf>
    <xf numFmtId="0" fontId="8" fillId="3" borderId="31" xfId="32" applyNumberFormat="1" applyFont="1" applyFill="1" applyBorder="1" applyAlignment="1">
      <alignment horizontal="left"/>
      <protection/>
    </xf>
    <xf numFmtId="0" fontId="4" fillId="3" borderId="33" xfId="25" applyFill="1" applyBorder="1">
      <alignment/>
      <protection/>
    </xf>
    <xf numFmtId="0" fontId="4" fillId="3" borderId="33" xfId="25" applyNumberFormat="1" applyFont="1" applyFill="1" applyBorder="1">
      <alignment/>
      <protection/>
    </xf>
    <xf numFmtId="0" fontId="4" fillId="3" borderId="34" xfId="25" applyNumberFormat="1" applyFont="1" applyFill="1" applyBorder="1" applyAlignment="1">
      <alignment horizontal="left"/>
      <protection/>
    </xf>
    <xf numFmtId="14" fontId="8" fillId="3" borderId="21" xfId="32" applyNumberFormat="1" applyFont="1" applyFill="1" applyBorder="1" applyAlignment="1">
      <alignment horizontal="center"/>
      <protection/>
    </xf>
    <xf numFmtId="0" fontId="8" fillId="3" borderId="21" xfId="32" applyNumberFormat="1" applyFont="1" applyFill="1" applyBorder="1" applyAlignment="1">
      <alignment horizontal="center"/>
      <protection/>
    </xf>
    <xf numFmtId="0" fontId="2" fillId="3" borderId="21" xfId="32" applyNumberFormat="1" applyFont="1" applyFill="1" applyBorder="1" applyAlignment="1">
      <alignment horizontal="center"/>
      <protection/>
    </xf>
    <xf numFmtId="0" fontId="8" fillId="3" borderId="21" xfId="32" applyNumberFormat="1" applyFont="1" applyFill="1" applyBorder="1" applyAlignment="1">
      <alignment horizontal="left"/>
      <protection/>
    </xf>
    <xf numFmtId="0" fontId="4" fillId="3" borderId="21" xfId="25" applyNumberFormat="1" applyFont="1" applyFill="1" applyBorder="1" applyAlignment="1">
      <alignment horizontal="left"/>
      <protection/>
    </xf>
    <xf numFmtId="0" fontId="4" fillId="3" borderId="30" xfId="25" applyNumberFormat="1" applyFont="1" applyFill="1" applyBorder="1" applyAlignment="1">
      <alignment horizontal="left"/>
      <protection/>
    </xf>
    <xf numFmtId="14" fontId="12" fillId="7" borderId="0" xfId="30" applyNumberFormat="1" applyFont="1" applyFill="1" applyBorder="1" applyAlignment="1">
      <alignment horizontal="center" vertical="center"/>
      <protection/>
    </xf>
    <xf numFmtId="0" fontId="18" fillId="7" borderId="0" xfId="30" applyNumberFormat="1" applyFont="1" applyFill="1" applyBorder="1" applyAlignment="1">
      <alignment horizontal="center" vertical="center"/>
      <protection/>
    </xf>
    <xf numFmtId="1" fontId="47" fillId="8" borderId="0" xfId="30" applyNumberFormat="1" applyFont="1" applyFill="1" applyBorder="1" applyAlignment="1">
      <alignment horizontal="center" vertical="center"/>
      <protection/>
    </xf>
    <xf numFmtId="44" fontId="47" fillId="8" borderId="0" xfId="16" applyNumberFormat="1" applyFont="1" applyFill="1" applyBorder="1" applyAlignment="1">
      <alignment horizontal="center" vertical="center"/>
      <protection/>
    </xf>
    <xf numFmtId="0" fontId="29" fillId="3" borderId="30" xfId="30" applyNumberFormat="1" applyFont="1" applyFill="1" applyBorder="1" applyAlignment="1">
      <alignment horizontal="center"/>
      <protection/>
    </xf>
    <xf numFmtId="0" fontId="29" fillId="3" borderId="17" xfId="30" applyNumberFormat="1" applyFont="1" applyFill="1" applyBorder="1" applyAlignment="1">
      <alignment horizontal="left"/>
      <protection/>
    </xf>
    <xf numFmtId="0" fontId="20" fillId="0" borderId="0" xfId="30" applyNumberFormat="1" applyFont="1" applyFill="1" applyBorder="1">
      <alignment/>
      <protection/>
    </xf>
    <xf numFmtId="194" fontId="24" fillId="6" borderId="0" xfId="33" applyNumberFormat="1" applyFont="1" applyFill="1" applyBorder="1">
      <alignment/>
      <protection/>
    </xf>
    <xf numFmtId="195" fontId="24" fillId="6" borderId="0" xfId="33" applyNumberFormat="1" applyFont="1" applyFill="1" applyBorder="1">
      <alignment/>
      <protection/>
    </xf>
    <xf numFmtId="194" fontId="24" fillId="3" borderId="0" xfId="33" applyNumberFormat="1" applyFont="1" applyFill="1" applyBorder="1">
      <alignment/>
      <protection/>
    </xf>
    <xf numFmtId="194" fontId="25" fillId="6" borderId="0" xfId="33" applyNumberFormat="1" applyFont="1" applyFill="1" applyBorder="1" applyAlignment="1">
      <alignment horizontal="center"/>
      <protection/>
    </xf>
    <xf numFmtId="195" fontId="24" fillId="3" borderId="0" xfId="33" applyNumberFormat="1" applyFont="1" applyFill="1" applyBorder="1">
      <alignment/>
      <protection/>
    </xf>
    <xf numFmtId="195" fontId="25" fillId="6" borderId="0" xfId="33" applyNumberFormat="1" applyFont="1" applyFill="1" applyBorder="1" applyAlignment="1">
      <alignment horizontal="center"/>
      <protection/>
    </xf>
    <xf numFmtId="1" fontId="7" fillId="3" borderId="22" xfId="0" applyNumberFormat="1" applyFont="1" applyFill="1" applyBorder="1" applyAlignment="1">
      <alignment horizontal="center"/>
    </xf>
    <xf numFmtId="0" fontId="29" fillId="3" borderId="22" xfId="0" applyNumberFormat="1" applyFont="1" applyFill="1" applyBorder="1" applyAlignment="1">
      <alignment horizontal="center"/>
    </xf>
    <xf numFmtId="167" fontId="0" fillId="3" borderId="22" xfId="0" applyNumberFormat="1" applyFont="1" applyFill="1" applyBorder="1"/>
    <xf numFmtId="167" fontId="0" fillId="3" borderId="24" xfId="0" applyNumberFormat="1" applyFont="1" applyFill="1" applyBorder="1"/>
    <xf numFmtId="167" fontId="7" fillId="3" borderId="29" xfId="0" applyNumberFormat="1" applyFont="1" applyFill="1" applyBorder="1"/>
    <xf numFmtId="167" fontId="24" fillId="3" borderId="22" xfId="0" applyNumberFormat="1" applyFont="1" applyFill="1" applyBorder="1"/>
    <xf numFmtId="166" fontId="0" fillId="3" borderId="22" xfId="0" applyNumberFormat="1" applyFont="1" applyFill="1" applyBorder="1"/>
    <xf numFmtId="166" fontId="0" fillId="3" borderId="24" xfId="0" applyNumberFormat="1" applyFont="1" applyFill="1" applyBorder="1"/>
    <xf numFmtId="166" fontId="0" fillId="3" borderId="35" xfId="0" applyNumberFormat="1" applyFont="1" applyFill="1" applyBorder="1"/>
    <xf numFmtId="166" fontId="7" fillId="3" borderId="22" xfId="0" applyNumberFormat="1" applyFont="1" applyFill="1" applyBorder="1"/>
    <xf numFmtId="167" fontId="19" fillId="3" borderId="22" xfId="0" applyNumberFormat="1" applyFont="1" applyFill="1" applyBorder="1"/>
    <xf numFmtId="166" fontId="7" fillId="3" borderId="29" xfId="0" applyNumberFormat="1" applyFont="1" applyFill="1" applyBorder="1"/>
    <xf numFmtId="167" fontId="22" fillId="3" borderId="22" xfId="0" applyNumberFormat="1" applyFont="1" applyFill="1" applyBorder="1"/>
    <xf numFmtId="178" fontId="7" fillId="3" borderId="22" xfId="0" applyNumberFormat="1" applyFont="1" applyFill="1" applyBorder="1"/>
    <xf numFmtId="178" fontId="25" fillId="3" borderId="22" xfId="0" applyNumberFormat="1" applyFont="1" applyFill="1" applyBorder="1"/>
    <xf numFmtId="167" fontId="24" fillId="3" borderId="24" xfId="0" applyNumberFormat="1" applyFont="1" applyFill="1" applyBorder="1"/>
    <xf numFmtId="167" fontId="25" fillId="3" borderId="22" xfId="0" applyNumberFormat="1" applyFont="1" applyFill="1" applyBorder="1"/>
    <xf numFmtId="166" fontId="25" fillId="3" borderId="29" xfId="0" applyNumberFormat="1" applyFont="1" applyFill="1" applyBorder="1"/>
    <xf numFmtId="166" fontId="24" fillId="3" borderId="22" xfId="33" applyNumberFormat="1" applyFont="1" applyFill="1" applyBorder="1">
      <alignment/>
      <protection/>
    </xf>
    <xf numFmtId="166" fontId="24" fillId="3" borderId="24" xfId="33" applyNumberFormat="1" applyFont="1" applyFill="1" applyBorder="1">
      <alignment/>
      <protection/>
    </xf>
    <xf numFmtId="166" fontId="27" fillId="3" borderId="29" xfId="0" applyNumberFormat="1" applyFont="1" applyFill="1" applyBorder="1"/>
    <xf numFmtId="166" fontId="26" fillId="3" borderId="29" xfId="0" applyNumberFormat="1" applyFont="1" applyFill="1" applyBorder="1"/>
    <xf numFmtId="166" fontId="27" fillId="3" borderId="35" xfId="0" applyNumberFormat="1" applyFont="1" applyFill="1" applyBorder="1"/>
    <xf numFmtId="166" fontId="26" fillId="3" borderId="22" xfId="0" applyNumberFormat="1" applyFont="1" applyFill="1" applyBorder="1"/>
    <xf numFmtId="166" fontId="25" fillId="3" borderId="35" xfId="0" applyNumberFormat="1" applyFont="1" applyFill="1" applyBorder="1"/>
    <xf numFmtId="166" fontId="25" fillId="3" borderId="22" xfId="33" applyNumberFormat="1" applyFont="1" applyFill="1" applyBorder="1">
      <alignment/>
      <protection/>
    </xf>
    <xf numFmtId="166" fontId="7" fillId="3" borderId="22" xfId="33" applyNumberFormat="1" applyFont="1" applyFill="1" applyBorder="1">
      <alignment/>
      <protection/>
    </xf>
    <xf numFmtId="166" fontId="7" fillId="3" borderId="29" xfId="33" applyNumberFormat="1" applyFont="1" applyFill="1" applyBorder="1">
      <alignment/>
      <protection/>
    </xf>
    <xf numFmtId="166" fontId="22" fillId="3" borderId="22" xfId="0" applyNumberFormat="1" applyFont="1" applyFill="1" applyBorder="1"/>
    <xf numFmtId="166" fontId="24" fillId="3" borderId="35" xfId="0" applyNumberFormat="1" applyFont="1" applyFill="1" applyBorder="1"/>
    <xf numFmtId="166" fontId="0" fillId="3" borderId="29" xfId="0" applyNumberFormat="1" applyFont="1" applyFill="1" applyBorder="1"/>
    <xf numFmtId="166" fontId="22" fillId="3" borderId="29" xfId="0" applyNumberFormat="1" applyFont="1" applyFill="1" applyBorder="1"/>
    <xf numFmtId="167" fontId="22" fillId="3" borderId="24" xfId="0" applyNumberFormat="1" applyFont="1" applyFill="1" applyBorder="1"/>
    <xf numFmtId="190" fontId="24" fillId="3" borderId="22" xfId="0" applyNumberFormat="1" applyFont="1" applyFill="1" applyBorder="1"/>
    <xf numFmtId="169" fontId="25" fillId="3" borderId="22" xfId="16" applyNumberFormat="1" applyFont="1" applyFill="1" applyBorder="1">
      <alignment/>
      <protection/>
    </xf>
    <xf numFmtId="167" fontId="22" fillId="3" borderId="22" xfId="16" applyNumberFormat="1" applyFont="1" applyFill="1" applyBorder="1">
      <alignment/>
      <protection/>
    </xf>
    <xf numFmtId="44" fontId="7" fillId="3" borderId="22" xfId="0" applyNumberFormat="1" applyFont="1" applyFill="1" applyBorder="1"/>
    <xf numFmtId="178" fontId="22" fillId="3" borderId="22" xfId="0" applyNumberFormat="1" applyFont="1" applyFill="1" applyBorder="1"/>
    <xf numFmtId="170" fontId="24" fillId="3" borderId="22" xfId="0" applyNumberFormat="1" applyFont="1" applyFill="1" applyBorder="1"/>
    <xf numFmtId="17" fontId="33" fillId="3" borderId="22" xfId="33" applyNumberFormat="1" applyFont="1" applyFill="1" applyBorder="1" applyAlignment="1">
      <alignment horizontal="center"/>
      <protection/>
    </xf>
    <xf numFmtId="164" fontId="29" fillId="3" borderId="22" xfId="33" applyNumberFormat="1" applyFont="1" applyFill="1" applyBorder="1" applyAlignment="1">
      <alignment horizontal="center"/>
      <protection/>
    </xf>
    <xf numFmtId="44" fontId="25" fillId="3" borderId="22" xfId="33" applyNumberFormat="1" applyFont="1" applyFill="1" applyBorder="1" applyAlignment="1">
      <alignment horizontal="right"/>
      <protection/>
    </xf>
    <xf numFmtId="166" fontId="24" fillId="3" borderId="35" xfId="33" applyNumberFormat="1" applyFont="1" applyFill="1" applyBorder="1">
      <alignment/>
      <protection/>
    </xf>
    <xf numFmtId="167" fontId="25" fillId="3" borderId="22" xfId="33" applyNumberFormat="1" applyFont="1" applyFill="1" applyBorder="1">
      <alignment/>
      <protection/>
    </xf>
    <xf numFmtId="178" fontId="25" fillId="3" borderId="22" xfId="33" applyNumberFormat="1" applyFont="1" applyFill="1" applyBorder="1">
      <alignment/>
      <protection/>
    </xf>
    <xf numFmtId="166" fontId="25" fillId="3" borderId="29" xfId="33" applyNumberFormat="1" applyFont="1" applyFill="1" applyBorder="1">
      <alignment/>
      <protection/>
    </xf>
    <xf numFmtId="169" fontId="25" fillId="3" borderId="22" xfId="33" applyNumberFormat="1" applyFont="1" applyFill="1" applyBorder="1">
      <alignment/>
      <protection/>
    </xf>
    <xf numFmtId="167" fontId="25" fillId="3" borderId="22" xfId="33" applyNumberFormat="1" applyFont="1" applyFill="1" applyBorder="1" applyAlignment="1">
      <alignment horizontal="center"/>
      <protection/>
    </xf>
    <xf numFmtId="44" fontId="25" fillId="3" borderId="22" xfId="33" applyNumberFormat="1" applyFont="1" applyFill="1" applyBorder="1" applyAlignment="1">
      <alignment horizontal="center"/>
      <protection/>
    </xf>
    <xf numFmtId="167" fontId="24" fillId="3" borderId="22" xfId="33" applyNumberFormat="1" applyFont="1" applyFill="1" applyBorder="1" applyAlignment="1">
      <alignment horizontal="center"/>
      <protection/>
    </xf>
    <xf numFmtId="178" fontId="24" fillId="3" borderId="22" xfId="33" applyNumberFormat="1" applyFont="1" applyFill="1" applyBorder="1" applyAlignment="1">
      <alignment horizontal="right"/>
      <protection/>
    </xf>
    <xf numFmtId="170" fontId="24" fillId="3" borderId="22" xfId="33" applyNumberFormat="1" applyFont="1" applyFill="1" applyBorder="1">
      <alignment/>
      <protection/>
    </xf>
    <xf numFmtId="167" fontId="24" fillId="3" borderId="22" xfId="33" applyNumberFormat="1" applyFont="1" applyFill="1" applyBorder="1" applyAlignment="1">
      <alignment horizontal="right"/>
      <protection/>
    </xf>
    <xf numFmtId="167" fontId="24" fillId="3" borderId="22" xfId="33" applyNumberFormat="1" applyFont="1" applyFill="1" applyBorder="1">
      <alignment/>
      <protection/>
    </xf>
    <xf numFmtId="166" fontId="22" fillId="3" borderId="0" xfId="0" applyNumberFormat="1" applyFont="1" applyFill="1" applyBorder="1" applyAlignment="1">
      <alignment horizontal="right"/>
    </xf>
    <xf numFmtId="166" fontId="22" fillId="4" borderId="0" xfId="0" applyNumberFormat="1" applyFont="1" applyFill="1" applyBorder="1" applyAlignment="1">
      <alignment horizontal="right"/>
    </xf>
    <xf numFmtId="169" fontId="22" fillId="3" borderId="0" xfId="0" applyNumberFormat="1" applyFont="1" applyFill="1" applyBorder="1" applyAlignment="1">
      <alignment horizontal="right"/>
    </xf>
    <xf numFmtId="178" fontId="22" fillId="3" borderId="0" xfId="0" applyNumberFormat="1" applyFont="1" applyFill="1" applyBorder="1" applyAlignment="1">
      <alignment horizontal="right"/>
    </xf>
    <xf numFmtId="0" fontId="12" fillId="0" borderId="0" xfId="30" applyNumberFormat="1" applyFont="1" applyFill="1" applyBorder="1">
      <alignment/>
      <protection/>
    </xf>
    <xf numFmtId="0" fontId="49" fillId="3" borderId="0" xfId="25" applyNumberFormat="1" applyFont="1" applyFill="1" applyBorder="1">
      <alignment/>
      <protection/>
    </xf>
    <xf numFmtId="196" fontId="20" fillId="3" borderId="18" xfId="27" applyNumberFormat="1" applyFont="1" applyFill="1" applyBorder="1" applyAlignment="1">
      <alignment horizontal="left" indent="1"/>
      <protection/>
    </xf>
    <xf numFmtId="0" fontId="22" fillId="3" borderId="22" xfId="0" applyNumberFormat="1" applyFont="1" applyFill="1" applyBorder="1"/>
    <xf numFmtId="167" fontId="7" fillId="3" borderId="22" xfId="0" applyNumberFormat="1" applyFont="1" applyFill="1" applyBorder="1"/>
    <xf numFmtId="192" fontId="22" fillId="3" borderId="22" xfId="0" applyNumberFormat="1" applyFont="1" applyFill="1" applyBorder="1"/>
    <xf numFmtId="166" fontId="24" fillId="3" borderId="7" xfId="33" applyNumberFormat="1" applyFont="1" applyFill="1" applyBorder="1">
      <alignment/>
      <protection/>
    </xf>
    <xf numFmtId="44" fontId="25" fillId="3" borderId="22" xfId="0" applyNumberFormat="1" applyFont="1" applyFill="1" applyBorder="1"/>
    <xf numFmtId="17" fontId="2" fillId="3" borderId="22" xfId="0" applyNumberFormat="1" applyFont="1" applyFill="1" applyBorder="1" applyAlignment="1">
      <alignment horizontal="center"/>
    </xf>
    <xf numFmtId="166" fontId="27" fillId="3" borderId="22" xfId="0" applyNumberFormat="1" applyFont="1" applyFill="1" applyBorder="1"/>
    <xf numFmtId="166" fontId="27" fillId="3" borderId="24" xfId="0" applyNumberFormat="1" applyFont="1" applyFill="1" applyBorder="1"/>
    <xf numFmtId="178" fontId="27" fillId="3" borderId="22" xfId="0" applyNumberFormat="1" applyFont="1" applyFill="1" applyBorder="1"/>
    <xf numFmtId="178" fontId="27" fillId="3" borderId="24" xfId="0" applyNumberFormat="1" applyFont="1" applyFill="1" applyBorder="1"/>
    <xf numFmtId="178" fontId="26" fillId="3" borderId="22" xfId="0" applyNumberFormat="1" applyFont="1" applyFill="1" applyBorder="1"/>
    <xf numFmtId="169" fontId="22" fillId="3" borderId="22" xfId="0" applyNumberFormat="1" applyFont="1" applyFill="1" applyBorder="1"/>
    <xf numFmtId="167" fontId="26" fillId="3" borderId="22" xfId="0" applyNumberFormat="1" applyFont="1" applyFill="1" applyBorder="1"/>
    <xf numFmtId="44" fontId="7" fillId="3" borderId="22" xfId="0" applyNumberFormat="1" applyFont="1" applyFill="1" applyBorder="1" applyAlignment="1">
      <alignment horizontal="right"/>
    </xf>
    <xf numFmtId="184" fontId="0" fillId="3" borderId="22" xfId="0" applyNumberFormat="1" applyFont="1" applyFill="1" applyBorder="1" applyAlignment="1">
      <alignment horizontal="right"/>
    </xf>
    <xf numFmtId="189" fontId="0" fillId="3" borderId="22" xfId="0" applyNumberFormat="1" applyFont="1" applyFill="1" applyBorder="1" applyAlignment="1">
      <alignment horizontal="right"/>
    </xf>
    <xf numFmtId="185" fontId="0" fillId="3" borderId="22" xfId="0" applyNumberFormat="1" applyFont="1" applyFill="1" applyBorder="1" applyAlignment="1">
      <alignment horizontal="right"/>
    </xf>
    <xf numFmtId="166" fontId="0" fillId="3" borderId="22" xfId="33" applyNumberFormat="1" applyFont="1" applyFill="1" applyBorder="1">
      <alignment/>
      <protection/>
    </xf>
    <xf numFmtId="189" fontId="24" fillId="3" borderId="22" xfId="0" applyNumberFormat="1" applyFont="1" applyFill="1" applyBorder="1"/>
    <xf numFmtId="164" fontId="21" fillId="5" borderId="0" xfId="0" applyNumberFormat="1" applyFont="1" applyFill="1" applyBorder="1"/>
    <xf numFmtId="164" fontId="21" fillId="5" borderId="0" xfId="0" applyNumberFormat="1" applyFont="1" applyFill="1"/>
    <xf numFmtId="164" fontId="24" fillId="3" borderId="0" xfId="0" applyNumberFormat="1" applyFont="1" applyFill="1" applyBorder="1"/>
    <xf numFmtId="164" fontId="24" fillId="3" borderId="22" xfId="0" applyNumberFormat="1" applyFont="1" applyFill="1" applyBorder="1"/>
    <xf numFmtId="164" fontId="0" fillId="3" borderId="0" xfId="0" applyNumberFormat="1" applyFont="1" applyFill="1" applyBorder="1"/>
    <xf numFmtId="164" fontId="30" fillId="5" borderId="0" xfId="0" applyNumberFormat="1" applyFont="1" applyFill="1" applyBorder="1"/>
    <xf numFmtId="164" fontId="30" fillId="5" borderId="22" xfId="0" applyNumberFormat="1" applyFont="1" applyFill="1" applyBorder="1"/>
    <xf numFmtId="164" fontId="31" fillId="5" borderId="0" xfId="33" applyNumberFormat="1" applyFont="1" applyFill="1" applyBorder="1">
      <alignment/>
      <protection/>
    </xf>
    <xf numFmtId="164" fontId="24" fillId="3" borderId="0" xfId="33" applyNumberFormat="1" applyFont="1" applyFill="1" applyBorder="1">
      <alignment/>
      <protection/>
    </xf>
    <xf numFmtId="164" fontId="25" fillId="3" borderId="0" xfId="33" applyNumberFormat="1" applyFont="1" applyFill="1" applyBorder="1">
      <alignment/>
      <protection/>
    </xf>
    <xf numFmtId="43" fontId="24" fillId="3" borderId="22" xfId="0" applyNumberFormat="1" applyFont="1" applyFill="1" applyBorder="1"/>
    <xf numFmtId="166" fontId="27" fillId="3" borderId="22" xfId="33" applyNumberFormat="1" applyFont="1" applyFill="1" applyBorder="1">
      <alignment/>
      <protection/>
    </xf>
    <xf numFmtId="166" fontId="0" fillId="3" borderId="24" xfId="33" applyNumberFormat="1" applyFont="1" applyFill="1" applyBorder="1">
      <alignment/>
      <protection/>
    </xf>
    <xf numFmtId="166" fontId="7" fillId="3" borderId="35" xfId="0" applyNumberFormat="1" applyFont="1" applyFill="1" applyBorder="1"/>
    <xf numFmtId="169" fontId="7" fillId="3" borderId="22" xfId="0" applyNumberFormat="1" applyFont="1" applyFill="1" applyBorder="1"/>
    <xf numFmtId="173" fontId="25" fillId="3" borderId="22" xfId="16" applyNumberFormat="1" applyFont="1" applyFill="1" applyBorder="1">
      <alignment/>
      <protection/>
    </xf>
    <xf numFmtId="164" fontId="21" fillId="5" borderId="0" xfId="0" applyNumberFormat="1" applyFont="1" applyFill="1" applyBorder="1"/>
    <xf numFmtId="164" fontId="21" fillId="5" borderId="22" xfId="0" applyNumberFormat="1" applyFont="1" applyFill="1" applyBorder="1"/>
    <xf numFmtId="164" fontId="21" fillId="5" borderId="0" xfId="0" applyNumberFormat="1" applyFont="1" applyFill="1"/>
    <xf numFmtId="164" fontId="24" fillId="4" borderId="0" xfId="0" applyNumberFormat="1" applyFont="1" applyFill="1" applyBorder="1"/>
    <xf numFmtId="164" fontId="24" fillId="3" borderId="0" xfId="0" applyNumberFormat="1" applyFont="1" applyFill="1" applyBorder="1"/>
    <xf numFmtId="164" fontId="24" fillId="3" borderId="22" xfId="0" applyNumberFormat="1" applyFont="1" applyFill="1" applyBorder="1"/>
    <xf numFmtId="164" fontId="24" fillId="4" borderId="7" xfId="0" applyNumberFormat="1" applyFont="1" applyFill="1" applyBorder="1"/>
    <xf numFmtId="164" fontId="24" fillId="3" borderId="7" xfId="0" applyNumberFormat="1" applyFont="1" applyFill="1" applyBorder="1"/>
    <xf numFmtId="164" fontId="20" fillId="3" borderId="0" xfId="24" applyNumberFormat="1" applyFont="1" applyFill="1" applyBorder="1" applyAlignment="1">
      <alignment horizontal="right"/>
      <protection/>
    </xf>
    <xf numFmtId="164" fontId="20" fillId="3" borderId="22" xfId="24" applyNumberFormat="1" applyFont="1" applyFill="1" applyBorder="1" applyAlignment="1">
      <alignment horizontal="right"/>
      <protection/>
    </xf>
    <xf numFmtId="164" fontId="25" fillId="4" borderId="0" xfId="0" applyNumberFormat="1" applyFont="1" applyFill="1" applyBorder="1"/>
    <xf numFmtId="164" fontId="25" fillId="3" borderId="0" xfId="0" applyNumberFormat="1" applyFont="1" applyFill="1" applyBorder="1"/>
    <xf numFmtId="164" fontId="25" fillId="3" borderId="22" xfId="0" applyNumberFormat="1" applyFont="1" applyFill="1" applyBorder="1"/>
    <xf numFmtId="164" fontId="22" fillId="3" borderId="0" xfId="0" applyNumberFormat="1" applyFont="1" applyFill="1" applyBorder="1"/>
    <xf numFmtId="164" fontId="22" fillId="4" borderId="0" xfId="0" applyNumberFormat="1" applyFont="1" applyFill="1" applyBorder="1"/>
    <xf numFmtId="164" fontId="0" fillId="4" borderId="0" xfId="33" applyNumberFormat="1" applyFont="1" applyFill="1" applyBorder="1">
      <alignment/>
      <protection/>
    </xf>
    <xf numFmtId="164" fontId="0" fillId="3" borderId="0" xfId="33" applyNumberFormat="1" applyFont="1" applyFill="1" applyBorder="1">
      <alignment/>
      <protection/>
    </xf>
    <xf numFmtId="164" fontId="0" fillId="3" borderId="22" xfId="33" applyNumberFormat="1" applyFont="1" applyFill="1" applyBorder="1">
      <alignment/>
      <protection/>
    </xf>
    <xf numFmtId="164" fontId="0" fillId="4" borderId="0" xfId="0" applyNumberFormat="1" applyFont="1" applyFill="1" applyBorder="1"/>
    <xf numFmtId="164" fontId="0" fillId="3" borderId="0" xfId="0" applyNumberFormat="1" applyFont="1" applyFill="1" applyBorder="1"/>
    <xf numFmtId="164" fontId="0" fillId="3" borderId="22" xfId="0" applyNumberFormat="1" applyFont="1" applyFill="1" applyBorder="1"/>
    <xf numFmtId="164" fontId="48" fillId="5" borderId="0" xfId="0" applyNumberFormat="1" applyFont="1" applyFill="1" applyBorder="1"/>
    <xf numFmtId="164" fontId="30" fillId="5" borderId="0" xfId="0" applyNumberFormat="1" applyFont="1" applyFill="1" applyBorder="1"/>
    <xf numFmtId="164" fontId="30" fillId="5" borderId="22" xfId="0" applyNumberFormat="1" applyFont="1" applyFill="1" applyBorder="1"/>
    <xf numFmtId="164" fontId="20" fillId="2" borderId="0" xfId="24" applyNumberFormat="1" applyFont="1" applyFill="1" applyBorder="1" applyAlignment="1">
      <alignment horizontal="right"/>
      <protection/>
    </xf>
    <xf numFmtId="164" fontId="20" fillId="2" borderId="22" xfId="24" applyNumberFormat="1" applyFont="1" applyFill="1" applyBorder="1" applyAlignment="1">
      <alignment horizontal="right"/>
      <protection/>
    </xf>
    <xf numFmtId="164" fontId="25" fillId="3" borderId="8" xfId="0" applyNumberFormat="1" applyFont="1" applyFill="1" applyBorder="1"/>
    <xf numFmtId="164" fontId="25" fillId="3" borderId="7" xfId="0" applyNumberFormat="1" applyFont="1" applyFill="1" applyBorder="1"/>
    <xf numFmtId="164" fontId="25" fillId="3" borderId="29" xfId="0" applyNumberFormat="1" applyFont="1" applyFill="1" applyBorder="1"/>
    <xf numFmtId="164" fontId="25" fillId="3" borderId="6" xfId="0" applyNumberFormat="1" applyFont="1" applyFill="1" applyBorder="1"/>
    <xf numFmtId="164" fontId="25" fillId="3" borderId="5" xfId="0" applyNumberFormat="1" applyFont="1" applyFill="1" applyBorder="1"/>
    <xf numFmtId="164" fontId="25" fillId="3" borderId="4" xfId="0" applyNumberFormat="1" applyFont="1" applyFill="1" applyBorder="1"/>
    <xf numFmtId="164" fontId="24" fillId="4" borderId="2" xfId="33" applyNumberFormat="1" applyFont="1" applyFill="1" applyBorder="1" applyAlignment="1">
      <alignment horizontal="right"/>
      <protection/>
    </xf>
    <xf numFmtId="164" fontId="24" fillId="3" borderId="2" xfId="33" applyNumberFormat="1" applyFont="1" applyFill="1" applyBorder="1" applyAlignment="1">
      <alignment horizontal="right"/>
      <protection/>
    </xf>
    <xf numFmtId="164" fontId="24" fillId="4" borderId="2" xfId="33" applyNumberFormat="1" applyFont="1" applyFill="1" applyBorder="1">
      <alignment/>
      <protection/>
    </xf>
    <xf numFmtId="164" fontId="24" fillId="3" borderId="24" xfId="33" applyNumberFormat="1" applyFont="1" applyFill="1" applyBorder="1" applyAlignment="1">
      <alignment horizontal="right"/>
      <protection/>
    </xf>
    <xf numFmtId="164" fontId="25" fillId="4" borderId="7" xfId="33" applyNumberFormat="1" applyFont="1" applyFill="1" applyBorder="1">
      <alignment/>
      <protection/>
    </xf>
    <xf numFmtId="164" fontId="25" fillId="3" borderId="7" xfId="33" applyNumberFormat="1" applyFont="1" applyFill="1" applyBorder="1">
      <alignment/>
      <protection/>
    </xf>
    <xf numFmtId="164" fontId="25" fillId="3" borderId="29" xfId="33" applyNumberFormat="1" applyFont="1" applyFill="1" applyBorder="1">
      <alignment/>
      <protection/>
    </xf>
    <xf numFmtId="164" fontId="31" fillId="5" borderId="0" xfId="33" applyNumberFormat="1" applyFont="1" applyFill="1" applyBorder="1">
      <alignment/>
      <protection/>
    </xf>
    <xf numFmtId="164" fontId="31" fillId="5" borderId="22" xfId="33" applyNumberFormat="1" applyFont="1" applyFill="1" applyBorder="1">
      <alignment/>
      <protection/>
    </xf>
    <xf numFmtId="164" fontId="24" fillId="4" borderId="0" xfId="33" applyNumberFormat="1" applyFont="1" applyFill="1" applyBorder="1">
      <alignment/>
      <protection/>
    </xf>
    <xf numFmtId="164" fontId="24" fillId="3" borderId="0" xfId="33" applyNumberFormat="1" applyFont="1" applyFill="1" applyBorder="1">
      <alignment/>
      <protection/>
    </xf>
    <xf numFmtId="164" fontId="24" fillId="3" borderId="22" xfId="33" applyNumberFormat="1" applyFont="1" applyFill="1" applyBorder="1">
      <alignment/>
      <protection/>
    </xf>
    <xf numFmtId="164" fontId="25" fillId="4" borderId="0" xfId="33" applyNumberFormat="1" applyFont="1" applyFill="1" applyBorder="1">
      <alignment/>
      <protection/>
    </xf>
    <xf numFmtId="164" fontId="25" fillId="3" borderId="0" xfId="33" applyNumberFormat="1" applyFont="1" applyFill="1" applyBorder="1">
      <alignment/>
      <protection/>
    </xf>
    <xf numFmtId="164" fontId="25" fillId="3" borderId="22" xfId="33" applyNumberFormat="1" applyFont="1" applyFill="1" applyBorder="1">
      <alignment/>
      <protection/>
    </xf>
    <xf numFmtId="0" fontId="15" fillId="3" borderId="0" xfId="30" applyNumberFormat="1" applyFont="1" applyFill="1" applyBorder="1" applyAlignment="1">
      <alignment horizontal="left" wrapText="1" indent="1"/>
      <protection/>
    </xf>
    <xf numFmtId="0" fontId="40" fillId="3" borderId="0" xfId="25" applyFont="1" applyFill="1">
      <alignment/>
      <protection/>
    </xf>
    <xf numFmtId="17" fontId="51" fillId="4" borderId="0" xfId="0" applyNumberFormat="1" applyFont="1" applyFill="1" applyBorder="1" applyAlignment="1">
      <alignment horizontal="center"/>
    </xf>
    <xf numFmtId="17" fontId="20" fillId="3" borderId="22" xfId="0" applyNumberFormat="1" applyFont="1" applyFill="1" applyBorder="1" applyAlignment="1">
      <alignment horizontal="center"/>
    </xf>
    <xf numFmtId="0" fontId="50" fillId="4" borderId="0" xfId="0" applyNumberFormat="1" applyFont="1" applyFill="1" applyBorder="1" applyAlignment="1">
      <alignment horizontal="center"/>
    </xf>
    <xf numFmtId="166" fontId="51" fillId="3" borderId="9" xfId="0" applyNumberFormat="1" applyFont="1" applyFill="1" applyBorder="1"/>
    <xf numFmtId="166" fontId="51" fillId="4" borderId="9" xfId="0" applyNumberFormat="1" applyFont="1" applyFill="1" applyBorder="1"/>
    <xf numFmtId="167" fontId="52" fillId="3" borderId="0" xfId="0" applyNumberFormat="1" applyFont="1" applyFill="1" applyBorder="1"/>
    <xf numFmtId="167" fontId="52" fillId="4" borderId="0" xfId="0" applyNumberFormat="1" applyFont="1" applyFill="1" applyBorder="1"/>
    <xf numFmtId="166" fontId="51" fillId="3" borderId="2" xfId="0" applyNumberFormat="1" applyFont="1" applyFill="1" applyBorder="1"/>
    <xf numFmtId="166" fontId="51" fillId="4" borderId="2" xfId="0" applyNumberFormat="1" applyFont="1" applyFill="1" applyBorder="1"/>
    <xf numFmtId="178" fontId="24" fillId="3" borderId="22" xfId="0" applyNumberFormat="1" applyFont="1" applyFill="1" applyBorder="1"/>
    <xf numFmtId="178" fontId="24" fillId="3" borderId="24" xfId="0" applyNumberFormat="1" applyFont="1" applyFill="1" applyBorder="1"/>
    <xf numFmtId="166" fontId="50" fillId="3" borderId="0" xfId="0" applyNumberFormat="1" applyFont="1" applyFill="1" applyBorder="1"/>
    <xf numFmtId="166" fontId="50" fillId="4" borderId="0" xfId="0" applyNumberFormat="1" applyFont="1" applyFill="1" applyBorder="1"/>
    <xf numFmtId="166" fontId="51" fillId="4" borderId="0" xfId="0" applyNumberFormat="1" applyFont="1" applyFill="1" applyBorder="1"/>
    <xf numFmtId="166" fontId="51" fillId="3" borderId="0" xfId="0" applyNumberFormat="1" applyFont="1" applyFill="1" applyBorder="1"/>
    <xf numFmtId="166" fontId="51" fillId="3" borderId="22" xfId="0" applyNumberFormat="1" applyFont="1" applyFill="1" applyBorder="1"/>
    <xf numFmtId="166" fontId="50" fillId="3" borderId="7" xfId="0" applyNumberFormat="1" applyFont="1" applyFill="1" applyBorder="1"/>
    <xf numFmtId="167" fontId="51" fillId="3" borderId="0" xfId="0" applyNumberFormat="1" applyFont="1" applyFill="1" applyBorder="1"/>
    <xf numFmtId="167" fontId="51" fillId="4" borderId="0" xfId="0" applyNumberFormat="1" applyFont="1" applyFill="1" applyBorder="1"/>
    <xf numFmtId="167" fontId="51" fillId="3" borderId="2" xfId="0" applyNumberFormat="1" applyFont="1" applyFill="1" applyBorder="1"/>
    <xf numFmtId="167" fontId="51" fillId="4" borderId="2" xfId="0" applyNumberFormat="1" applyFont="1" applyFill="1" applyBorder="1"/>
    <xf numFmtId="43" fontId="51" fillId="4" borderId="0" xfId="0" applyNumberFormat="1" applyFont="1" applyFill="1" applyBorder="1"/>
    <xf numFmtId="43" fontId="51" fillId="3" borderId="0" xfId="0" applyNumberFormat="1" applyFont="1" applyFill="1" applyBorder="1"/>
    <xf numFmtId="43" fontId="51" fillId="3" borderId="22" xfId="0" applyNumberFormat="1" applyFont="1" applyFill="1" applyBorder="1"/>
    <xf numFmtId="166" fontId="50" fillId="4" borderId="7" xfId="0" applyNumberFormat="1" applyFont="1" applyFill="1" applyBorder="1"/>
    <xf numFmtId="166" fontId="50" fillId="3" borderId="22" xfId="0" applyNumberFormat="1" applyFont="1" applyFill="1" applyBorder="1"/>
    <xf numFmtId="178" fontId="50" fillId="3" borderId="0" xfId="0" applyNumberFormat="1" applyFont="1" applyFill="1" applyBorder="1"/>
    <xf numFmtId="178" fontId="50" fillId="4" borderId="0" xfId="0" applyNumberFormat="1" applyFont="1" applyFill="1" applyBorder="1"/>
    <xf numFmtId="166" fontId="51" fillId="3" borderId="24" xfId="0" applyNumberFormat="1" applyFont="1" applyFill="1" applyBorder="1"/>
    <xf numFmtId="166" fontId="50" fillId="3" borderId="29" xfId="0" applyNumberFormat="1" applyFont="1" applyFill="1" applyBorder="1"/>
    <xf numFmtId="166" fontId="51" fillId="4" borderId="0" xfId="33" applyNumberFormat="1" applyFont="1" applyFill="1" applyBorder="1">
      <alignment/>
      <protection/>
    </xf>
    <xf numFmtId="166" fontId="51" fillId="3" borderId="0" xfId="33" applyNumberFormat="1" applyFont="1" applyFill="1" applyBorder="1">
      <alignment/>
      <protection/>
    </xf>
    <xf numFmtId="166" fontId="51" fillId="3" borderId="22" xfId="33" applyNumberFormat="1" applyFont="1" applyFill="1" applyBorder="1">
      <alignment/>
      <protection/>
    </xf>
    <xf numFmtId="166" fontId="51" fillId="4" borderId="2" xfId="33" applyNumberFormat="1" applyFont="1" applyFill="1" applyBorder="1">
      <alignment/>
      <protection/>
    </xf>
    <xf numFmtId="166" fontId="51" fillId="3" borderId="2" xfId="33" applyNumberFormat="1" applyFont="1" applyFill="1" applyBorder="1">
      <alignment/>
      <protection/>
    </xf>
    <xf numFmtId="166" fontId="51" fillId="3" borderId="7" xfId="0" applyNumberFormat="1" applyFont="1" applyFill="1" applyBorder="1"/>
    <xf numFmtId="166" fontId="51" fillId="4" borderId="7" xfId="0" applyNumberFormat="1" applyFont="1" applyFill="1" applyBorder="1"/>
    <xf numFmtId="166" fontId="51" fillId="3" borderId="29" xfId="0" applyNumberFormat="1" applyFont="1" applyFill="1" applyBorder="1"/>
    <xf numFmtId="166" fontId="51" fillId="3" borderId="24" xfId="33" applyNumberFormat="1" applyFont="1" applyFill="1" applyBorder="1">
      <alignment/>
      <protection/>
    </xf>
    <xf numFmtId="166" fontId="50" fillId="4" borderId="0" xfId="33" applyNumberFormat="1" applyFont="1" applyFill="1" applyBorder="1">
      <alignment/>
      <protection/>
    </xf>
    <xf numFmtId="166" fontId="50" fillId="3" borderId="0" xfId="33" applyNumberFormat="1" applyFont="1" applyFill="1" applyBorder="1">
      <alignment/>
      <protection/>
    </xf>
    <xf numFmtId="166" fontId="50" fillId="3" borderId="7" xfId="33" applyNumberFormat="1" applyFont="1" applyFill="1" applyBorder="1">
      <alignment/>
      <protection/>
    </xf>
    <xf numFmtId="166" fontId="50" fillId="4" borderId="7" xfId="33" applyNumberFormat="1" applyFont="1" applyFill="1" applyBorder="1">
      <alignment/>
      <protection/>
    </xf>
    <xf numFmtId="167" fontId="50" fillId="3" borderId="0" xfId="0" applyNumberFormat="1" applyFont="1" applyFill="1" applyBorder="1"/>
    <xf numFmtId="167" fontId="50" fillId="4" borderId="0" xfId="0" applyNumberFormat="1" applyFont="1" applyFill="1" applyBorder="1"/>
    <xf numFmtId="164" fontId="51" fillId="4" borderId="0" xfId="33" applyNumberFormat="1" applyFont="1" applyFill="1" applyBorder="1">
      <alignment/>
      <protection/>
    </xf>
    <xf numFmtId="164" fontId="51" fillId="3" borderId="0" xfId="33" applyNumberFormat="1" applyFont="1" applyFill="1" applyBorder="1">
      <alignment/>
      <protection/>
    </xf>
    <xf numFmtId="164" fontId="51" fillId="3" borderId="22" xfId="33" applyNumberFormat="1" applyFont="1" applyFill="1" applyBorder="1">
      <alignment/>
      <protection/>
    </xf>
    <xf numFmtId="164" fontId="51" fillId="3" borderId="0" xfId="0" applyNumberFormat="1" applyFont="1" applyFill="1" applyBorder="1"/>
    <xf numFmtId="164" fontId="51" fillId="4" borderId="0" xfId="0" applyNumberFormat="1" applyFont="1" applyFill="1" applyBorder="1"/>
    <xf numFmtId="164" fontId="51" fillId="3" borderId="22" xfId="0" applyNumberFormat="1" applyFont="1" applyFill="1" applyBorder="1"/>
    <xf numFmtId="190" fontId="51" fillId="4" borderId="0" xfId="0" applyNumberFormat="1" applyFont="1" applyFill="1" applyBorder="1"/>
    <xf numFmtId="190" fontId="51" fillId="3" borderId="0" xfId="0" applyNumberFormat="1" applyFont="1" applyFill="1" applyBorder="1"/>
    <xf numFmtId="190" fontId="51" fillId="3" borderId="22" xfId="0" applyNumberFormat="1" applyFont="1" applyFill="1" applyBorder="1"/>
    <xf numFmtId="192" fontId="52" fillId="3" borderId="0" xfId="0" applyNumberFormat="1" applyFont="1" applyFill="1" applyBorder="1"/>
    <xf numFmtId="192" fontId="52" fillId="4" borderId="0" xfId="0" applyNumberFormat="1" applyFont="1" applyFill="1" applyBorder="1"/>
    <xf numFmtId="173" fontId="50" fillId="4" borderId="0" xfId="33" applyNumberFormat="1" applyFont="1" applyFill="1" applyBorder="1">
      <alignment/>
      <protection/>
    </xf>
    <xf numFmtId="173" fontId="50" fillId="3" borderId="0" xfId="33" applyNumberFormat="1" applyFont="1" applyFill="1" applyBorder="1">
      <alignment/>
      <protection/>
    </xf>
    <xf numFmtId="173" fontId="50" fillId="3" borderId="0" xfId="16" applyNumberFormat="1" applyFont="1" applyFill="1" applyBorder="1">
      <alignment/>
      <protection/>
    </xf>
    <xf numFmtId="173" fontId="50" fillId="3" borderId="22" xfId="16" applyNumberFormat="1" applyFont="1" applyFill="1" applyBorder="1">
      <alignment/>
      <protection/>
    </xf>
    <xf numFmtId="173" fontId="50" fillId="4" borderId="0" xfId="16" applyNumberFormat="1" applyFont="1" applyFill="1" applyBorder="1">
      <alignment/>
      <protection/>
    </xf>
    <xf numFmtId="166" fontId="51" fillId="3" borderId="0" xfId="0" applyNumberFormat="1" applyFont="1" applyFill="1"/>
    <xf numFmtId="166" fontId="51" fillId="4" borderId="0" xfId="0" applyNumberFormat="1" applyFont="1" applyFill="1"/>
    <xf numFmtId="44" fontId="50" fillId="3" borderId="0" xfId="0" applyNumberFormat="1" applyFont="1" applyFill="1"/>
    <xf numFmtId="44" fontId="50" fillId="4" borderId="0" xfId="0" applyNumberFormat="1" applyFont="1" applyFill="1" applyBorder="1"/>
    <xf numFmtId="44" fontId="50" fillId="4" borderId="0" xfId="0" applyNumberFormat="1" applyFont="1" applyFill="1"/>
    <xf numFmtId="167" fontId="50" fillId="3" borderId="0" xfId="0" applyNumberFormat="1" applyFont="1" applyFill="1"/>
    <xf numFmtId="167" fontId="50" fillId="4" borderId="0" xfId="0" applyNumberFormat="1" applyFont="1" applyFill="1"/>
    <xf numFmtId="44" fontId="50" fillId="3" borderId="0" xfId="0" applyNumberFormat="1" applyFont="1" applyFill="1" applyBorder="1" applyAlignment="1">
      <alignment horizontal="left"/>
    </xf>
    <xf numFmtId="166" fontId="53" fillId="3" borderId="4" xfId="27" applyNumberFormat="1" applyFont="1" applyFill="1" applyBorder="1">
      <alignment/>
      <protection/>
    </xf>
    <xf numFmtId="166" fontId="53" fillId="3" borderId="1" xfId="27" applyNumberFormat="1" applyFont="1" applyFill="1" applyBorder="1">
      <alignment/>
      <protection/>
    </xf>
    <xf numFmtId="193" fontId="50" fillId="3" borderId="0" xfId="0" applyNumberFormat="1" applyFont="1" applyFill="1" applyBorder="1" applyAlignment="1">
      <alignment horizontal="right"/>
    </xf>
    <xf numFmtId="184" fontId="53" fillId="3" borderId="0" xfId="27" applyNumberFormat="1" applyFont="1" applyFill="1" applyBorder="1">
      <alignment/>
      <protection/>
    </xf>
    <xf numFmtId="184" fontId="51" fillId="3" borderId="0" xfId="0" applyNumberFormat="1" applyFont="1" applyFill="1" applyBorder="1"/>
    <xf numFmtId="184" fontId="51" fillId="3" borderId="22" xfId="0" applyNumberFormat="1" applyFont="1" applyFill="1" applyBorder="1"/>
    <xf numFmtId="185" fontId="53" fillId="3" borderId="0" xfId="27" applyNumberFormat="1" applyFont="1" applyFill="1" applyBorder="1">
      <alignment/>
      <protection/>
    </xf>
    <xf numFmtId="185" fontId="51" fillId="3" borderId="0" xfId="0" applyNumberFormat="1" applyFont="1" applyFill="1" applyBorder="1"/>
    <xf numFmtId="185" fontId="51" fillId="3" borderId="22" xfId="0" applyNumberFormat="1" applyFont="1" applyFill="1" applyBorder="1"/>
    <xf numFmtId="189" fontId="53" fillId="3" borderId="0" xfId="27" applyNumberFormat="1" applyFont="1" applyFill="1" applyBorder="1">
      <alignment/>
      <protection/>
    </xf>
    <xf numFmtId="189" fontId="51" fillId="3" borderId="0" xfId="0" applyNumberFormat="1" applyFont="1" applyFill="1" applyBorder="1"/>
    <xf numFmtId="189" fontId="51" fillId="3" borderId="22" xfId="0" applyNumberFormat="1" applyFont="1" applyFill="1" applyBorder="1"/>
    <xf numFmtId="1" fontId="7" fillId="6" borderId="0" xfId="0" applyNumberFormat="1" applyFont="1" applyFill="1" applyBorder="1" applyAlignment="1">
      <alignment horizontal="center"/>
    </xf>
    <xf numFmtId="1" fontId="25" fillId="6" borderId="0" xfId="0" applyNumberFormat="1" applyFont="1" applyFill="1" applyBorder="1" applyAlignment="1">
      <alignment horizontal="center"/>
    </xf>
    <xf numFmtId="17" fontId="51" fillId="6" borderId="0" xfId="0" applyNumberFormat="1" applyFont="1" applyFill="1" applyBorder="1" applyAlignment="1">
      <alignment horizontal="center"/>
    </xf>
    <xf numFmtId="17" fontId="20" fillId="6" borderId="0" xfId="0" applyNumberFormat="1" applyFont="1" applyFill="1" applyBorder="1" applyAlignment="1">
      <alignment horizontal="center"/>
    </xf>
    <xf numFmtId="0" fontId="50" fillId="6" borderId="0" xfId="0" applyNumberFormat="1" applyFont="1" applyFill="1" applyBorder="1" applyAlignment="1">
      <alignment horizontal="center"/>
    </xf>
    <xf numFmtId="0" fontId="29" fillId="6" borderId="0" xfId="0" applyNumberFormat="1" applyFont="1" applyFill="1" applyBorder="1" applyAlignment="1">
      <alignment horizontal="center"/>
    </xf>
    <xf numFmtId="167" fontId="24" fillId="6" borderId="0" xfId="0" applyNumberFormat="1" applyFont="1" applyFill="1" applyBorder="1"/>
    <xf numFmtId="167" fontId="0" fillId="6" borderId="0" xfId="0" applyNumberFormat="1" applyFont="1" applyFill="1" applyBorder="1"/>
    <xf numFmtId="167" fontId="24" fillId="6" borderId="2" xfId="0" applyNumberFormat="1" applyFont="1" applyFill="1" applyBorder="1"/>
    <xf numFmtId="167" fontId="0" fillId="6" borderId="2" xfId="0" applyNumberFormat="1" applyFont="1" applyFill="1" applyBorder="1"/>
    <xf numFmtId="167" fontId="25" fillId="6" borderId="7" xfId="0" applyNumberFormat="1" applyFont="1" applyFill="1" applyBorder="1"/>
    <xf numFmtId="167" fontId="7" fillId="6" borderId="7" xfId="0" applyNumberFormat="1" applyFont="1" applyFill="1" applyBorder="1"/>
    <xf numFmtId="166" fontId="0" fillId="6" borderId="0" xfId="0" applyNumberFormat="1" applyFont="1" applyFill="1" applyBorder="1"/>
    <xf numFmtId="166" fontId="24" fillId="6" borderId="0" xfId="0" applyNumberFormat="1" applyFont="1" applyFill="1" applyBorder="1"/>
    <xf numFmtId="166" fontId="0" fillId="6" borderId="2" xfId="0" applyNumberFormat="1" applyFont="1" applyFill="1" applyBorder="1"/>
    <xf numFmtId="166" fontId="24" fillId="6" borderId="2" xfId="0" applyNumberFormat="1" applyFont="1" applyFill="1" applyBorder="1"/>
    <xf numFmtId="166" fontId="0" fillId="6" borderId="9" xfId="0" applyNumberFormat="1" applyFont="1" applyFill="1" applyBorder="1"/>
    <xf numFmtId="166" fontId="24" fillId="6" borderId="9" xfId="0" applyNumberFormat="1" applyFont="1" applyFill="1" applyBorder="1"/>
    <xf numFmtId="166" fontId="51" fillId="6" borderId="9" xfId="0" applyNumberFormat="1" applyFont="1" applyFill="1" applyBorder="1"/>
    <xf numFmtId="166" fontId="7" fillId="6" borderId="0" xfId="0" applyNumberFormat="1" applyFont="1" applyFill="1" applyBorder="1"/>
    <xf numFmtId="166" fontId="25" fillId="6" borderId="0" xfId="0" applyNumberFormat="1" applyFont="1" applyFill="1" applyBorder="1"/>
    <xf numFmtId="167" fontId="22" fillId="6" borderId="0" xfId="0" applyNumberFormat="1" applyFont="1" applyFill="1" applyBorder="1"/>
    <xf numFmtId="167" fontId="19" fillId="6" borderId="0" xfId="0" applyNumberFormat="1" applyFont="1" applyFill="1" applyBorder="1"/>
    <xf numFmtId="167" fontId="52" fillId="6" borderId="0" xfId="0" applyNumberFormat="1" applyFont="1" applyFill="1" applyBorder="1"/>
    <xf numFmtId="166" fontId="25" fillId="6" borderId="7" xfId="0" applyNumberFormat="1" applyFont="1" applyFill="1" applyBorder="1"/>
    <xf numFmtId="166" fontId="7" fillId="6" borderId="7" xfId="0" applyNumberFormat="1" applyFont="1" applyFill="1" applyBorder="1"/>
    <xf numFmtId="166" fontId="51" fillId="6" borderId="2" xfId="0" applyNumberFormat="1" applyFont="1" applyFill="1" applyBorder="1"/>
    <xf numFmtId="178" fontId="24" fillId="6" borderId="0" xfId="0" applyNumberFormat="1" applyFont="1" applyFill="1" applyBorder="1"/>
    <xf numFmtId="178" fontId="0" fillId="6" borderId="0" xfId="0" applyNumberFormat="1" applyFont="1" applyFill="1" applyBorder="1"/>
    <xf numFmtId="178" fontId="24" fillId="6" borderId="2" xfId="0" applyNumberFormat="1" applyFont="1" applyFill="1" applyBorder="1"/>
    <xf numFmtId="178" fontId="0" fillId="6" borderId="2" xfId="0" applyNumberFormat="1" applyFont="1" applyFill="1" applyBorder="1"/>
    <xf numFmtId="178" fontId="25" fillId="6" borderId="0" xfId="0" applyNumberFormat="1" applyFont="1" applyFill="1" applyBorder="1"/>
    <xf numFmtId="178" fontId="7" fillId="6" borderId="0" xfId="0" applyNumberFormat="1" applyFont="1" applyFill="1" applyBorder="1"/>
    <xf numFmtId="166" fontId="50" fillId="6" borderId="0" xfId="0" applyNumberFormat="1" applyFont="1" applyFill="1" applyBorder="1"/>
    <xf numFmtId="166" fontId="51" fillId="6" borderId="0" xfId="0" applyNumberFormat="1" applyFont="1" applyFill="1" applyBorder="1"/>
    <xf numFmtId="167" fontId="51" fillId="6" borderId="0" xfId="0" applyNumberFormat="1" applyFont="1" applyFill="1" applyBorder="1"/>
    <xf numFmtId="167" fontId="51" fillId="6" borderId="2" xfId="0" applyNumberFormat="1" applyFont="1" applyFill="1" applyBorder="1"/>
    <xf numFmtId="167" fontId="7" fillId="6" borderId="0" xfId="0" applyNumberFormat="1" applyFont="1" applyFill="1" applyBorder="1"/>
    <xf numFmtId="167" fontId="25" fillId="6" borderId="0" xfId="0" applyNumberFormat="1" applyFont="1" applyFill="1" applyBorder="1"/>
    <xf numFmtId="43" fontId="51" fillId="6" borderId="0" xfId="0" applyNumberFormat="1" applyFont="1" applyFill="1" applyBorder="1"/>
    <xf numFmtId="43" fontId="24" fillId="6" borderId="0" xfId="0" applyNumberFormat="1" applyFont="1" applyFill="1" applyBorder="1"/>
    <xf numFmtId="164" fontId="24" fillId="6" borderId="0" xfId="0" applyNumberFormat="1" applyFont="1" applyFill="1" applyBorder="1"/>
    <xf numFmtId="166" fontId="50" fillId="6" borderId="7" xfId="0" applyNumberFormat="1" applyFont="1" applyFill="1" applyBorder="1"/>
    <xf numFmtId="178" fontId="50" fillId="6" borderId="0" xfId="0" applyNumberFormat="1" applyFont="1" applyFill="1" applyBorder="1"/>
    <xf numFmtId="166" fontId="51" fillId="6" borderId="0" xfId="33" applyNumberFormat="1" applyFont="1" applyFill="1" applyBorder="1">
      <alignment/>
      <protection/>
    </xf>
    <xf numFmtId="166" fontId="24" fillId="6" borderId="0" xfId="33" applyNumberFormat="1" applyFont="1" applyFill="1" applyBorder="1">
      <alignment/>
      <protection/>
    </xf>
    <xf numFmtId="166" fontId="51" fillId="6" borderId="2" xfId="33" applyNumberFormat="1" applyFont="1" applyFill="1" applyBorder="1">
      <alignment/>
      <protection/>
    </xf>
    <xf numFmtId="166" fontId="24" fillId="6" borderId="2" xfId="33" applyNumberFormat="1" applyFont="1" applyFill="1" applyBorder="1">
      <alignment/>
      <protection/>
    </xf>
    <xf numFmtId="166" fontId="24" fillId="6" borderId="7" xfId="0" applyNumberFormat="1" applyFont="1" applyFill="1" applyBorder="1"/>
    <xf numFmtId="166" fontId="51" fillId="6" borderId="7" xfId="0" applyNumberFormat="1" applyFont="1" applyFill="1" applyBorder="1"/>
    <xf numFmtId="166" fontId="25" fillId="6" borderId="9" xfId="0" applyNumberFormat="1" applyFont="1" applyFill="1" applyBorder="1"/>
    <xf numFmtId="164" fontId="24" fillId="6" borderId="7" xfId="0" applyNumberFormat="1" applyFont="1" applyFill="1" applyBorder="1"/>
    <xf numFmtId="166" fontId="50" fillId="6" borderId="0" xfId="33" applyNumberFormat="1" applyFont="1" applyFill="1" applyBorder="1">
      <alignment/>
      <protection/>
    </xf>
    <xf numFmtId="166" fontId="25" fillId="6" borderId="0" xfId="33" applyNumberFormat="1" applyFont="1" applyFill="1" applyBorder="1">
      <alignment/>
      <protection/>
    </xf>
    <xf numFmtId="166" fontId="7" fillId="6" borderId="0" xfId="33" applyNumberFormat="1" applyFont="1" applyFill="1" applyBorder="1">
      <alignment/>
      <protection/>
    </xf>
    <xf numFmtId="166" fontId="0" fillId="6" borderId="0" xfId="33" applyNumberFormat="1" applyFont="1" applyFill="1" applyBorder="1">
      <alignment/>
      <protection/>
    </xf>
    <xf numFmtId="166" fontId="7" fillId="6" borderId="7" xfId="33" applyNumberFormat="1" applyFont="1" applyFill="1" applyBorder="1">
      <alignment/>
      <protection/>
    </xf>
    <xf numFmtId="166" fontId="50" fillId="6" borderId="7" xfId="33" applyNumberFormat="1" applyFont="1" applyFill="1" applyBorder="1">
      <alignment/>
      <protection/>
    </xf>
    <xf numFmtId="166" fontId="25" fillId="6" borderId="7" xfId="33" applyNumberFormat="1" applyFont="1" applyFill="1" applyBorder="1">
      <alignment/>
      <protection/>
    </xf>
    <xf numFmtId="166" fontId="0" fillId="6" borderId="2" xfId="33" applyNumberFormat="1" applyFont="1" applyFill="1" applyBorder="1">
      <alignment/>
      <protection/>
    </xf>
    <xf numFmtId="164" fontId="25" fillId="6" borderId="0" xfId="0" applyNumberFormat="1" applyFont="1" applyFill="1" applyBorder="1"/>
    <xf numFmtId="166" fontId="24" fillId="6" borderId="0" xfId="0" applyNumberFormat="1" applyFont="1" applyFill="1" applyBorder="1" applyAlignment="1">
      <alignment horizontal="center"/>
    </xf>
    <xf numFmtId="166" fontId="22" fillId="6" borderId="0" xfId="0" applyNumberFormat="1" applyFont="1" applyFill="1" applyBorder="1"/>
    <xf numFmtId="166" fontId="22" fillId="6" borderId="0" xfId="0" applyNumberFormat="1" applyFont="1" applyFill="1" applyBorder="1" applyAlignment="1">
      <alignment horizontal="right"/>
    </xf>
    <xf numFmtId="166" fontId="7" fillId="6" borderId="9" xfId="0" applyNumberFormat="1" applyFont="1" applyFill="1" applyBorder="1"/>
    <xf numFmtId="166" fontId="0" fillId="6" borderId="7" xfId="0" applyNumberFormat="1" applyFont="1" applyFill="1" applyBorder="1"/>
    <xf numFmtId="166" fontId="22" fillId="6" borderId="7" xfId="0" applyNumberFormat="1" applyFont="1" applyFill="1" applyBorder="1"/>
    <xf numFmtId="167" fontId="50" fillId="6" borderId="0" xfId="0" applyNumberFormat="1" applyFont="1" applyFill="1" applyBorder="1"/>
    <xf numFmtId="169" fontId="7" fillId="6" borderId="0" xfId="0" applyNumberFormat="1" applyFont="1" applyFill="1" applyBorder="1"/>
    <xf numFmtId="169" fontId="25" fillId="6" borderId="0" xfId="0" applyNumberFormat="1" applyFont="1" applyFill="1" applyBorder="1"/>
    <xf numFmtId="169" fontId="22" fillId="6" borderId="0" xfId="0" applyNumberFormat="1" applyFont="1" applyFill="1" applyBorder="1"/>
    <xf numFmtId="169" fontId="22" fillId="6" borderId="0" xfId="0" applyNumberFormat="1" applyFont="1" applyFill="1" applyBorder="1" applyAlignment="1">
      <alignment horizontal="right"/>
    </xf>
    <xf numFmtId="164" fontId="22" fillId="6" borderId="0" xfId="0" applyNumberFormat="1" applyFont="1" applyFill="1" applyBorder="1"/>
    <xf numFmtId="164" fontId="51" fillId="6" borderId="0" xfId="33" applyNumberFormat="1" applyFont="1" applyFill="1" applyBorder="1">
      <alignment/>
      <protection/>
    </xf>
    <xf numFmtId="164" fontId="0" fillId="6" borderId="0" xfId="33" applyNumberFormat="1" applyFont="1" applyFill="1" applyBorder="1">
      <alignment/>
      <protection/>
    </xf>
    <xf numFmtId="164" fontId="51" fillId="6" borderId="0" xfId="0" applyNumberFormat="1" applyFont="1" applyFill="1" applyBorder="1"/>
    <xf numFmtId="167" fontId="22" fillId="6" borderId="0" xfId="33" applyNumberFormat="1" applyFont="1" applyFill="1" applyBorder="1">
      <alignment/>
      <protection/>
    </xf>
    <xf numFmtId="167" fontId="22" fillId="6" borderId="2" xfId="33" applyNumberFormat="1" applyFont="1" applyFill="1" applyBorder="1">
      <alignment/>
      <protection/>
    </xf>
    <xf numFmtId="167" fontId="22" fillId="6" borderId="2" xfId="0" applyNumberFormat="1" applyFont="1" applyFill="1" applyBorder="1"/>
    <xf numFmtId="167" fontId="19" fillId="6" borderId="0" xfId="33" applyNumberFormat="1" applyFont="1" applyFill="1" applyBorder="1">
      <alignment/>
      <protection/>
    </xf>
    <xf numFmtId="190" fontId="51" fillId="6" borderId="0" xfId="0" applyNumberFormat="1" applyFont="1" applyFill="1" applyBorder="1"/>
    <xf numFmtId="190" fontId="24" fillId="6" borderId="0" xfId="0" applyNumberFormat="1" applyFont="1" applyFill="1" applyBorder="1"/>
    <xf numFmtId="192" fontId="22" fillId="6" borderId="0" xfId="0" applyNumberFormat="1" applyFont="1" applyFill="1" applyBorder="1"/>
    <xf numFmtId="192" fontId="52" fillId="6" borderId="0" xfId="0" applyNumberFormat="1" applyFont="1" applyFill="1" applyBorder="1"/>
    <xf numFmtId="173" fontId="50" fillId="6" borderId="0" xfId="33" applyNumberFormat="1" applyFont="1" applyFill="1" applyBorder="1">
      <alignment/>
      <protection/>
    </xf>
    <xf numFmtId="173" fontId="25" fillId="6" borderId="0" xfId="33" applyNumberFormat="1" applyFont="1" applyFill="1" applyBorder="1">
      <alignment/>
      <protection/>
    </xf>
    <xf numFmtId="173" fontId="25" fillId="6" borderId="0" xfId="16" applyNumberFormat="1" applyFont="1" applyFill="1" applyBorder="1">
      <alignment/>
      <protection/>
    </xf>
    <xf numFmtId="173" fontId="50" fillId="6" borderId="0" xfId="16" applyNumberFormat="1" applyFont="1" applyFill="1" applyBorder="1">
      <alignment/>
      <protection/>
    </xf>
    <xf numFmtId="169" fontId="25" fillId="6" borderId="0" xfId="16" applyNumberFormat="1" applyFont="1" applyFill="1" applyBorder="1" applyAlignment="1">
      <alignment horizontal="right" indent="1"/>
      <protection/>
    </xf>
    <xf numFmtId="169" fontId="25" fillId="6" borderId="0" xfId="16" applyNumberFormat="1" applyFont="1" applyFill="1" applyBorder="1">
      <alignment/>
      <protection/>
    </xf>
    <xf numFmtId="167" fontId="19" fillId="6" borderId="0" xfId="16" applyNumberFormat="1" applyFont="1" applyFill="1" applyBorder="1" applyAlignment="1">
      <alignment horizontal="right" indent="1"/>
      <protection/>
    </xf>
    <xf numFmtId="167" fontId="19" fillId="6" borderId="0" xfId="16" applyNumberFormat="1" applyFont="1" applyFill="1" applyBorder="1">
      <alignment/>
      <protection/>
    </xf>
    <xf numFmtId="167" fontId="22" fillId="6" borderId="0" xfId="16" applyNumberFormat="1" applyFont="1" applyFill="1" applyBorder="1">
      <alignment/>
      <protection/>
    </xf>
    <xf numFmtId="44" fontId="7" fillId="6" borderId="0" xfId="0" applyNumberFormat="1" applyFont="1" applyFill="1" applyBorder="1"/>
    <xf numFmtId="44" fontId="25" fillId="6" borderId="0" xfId="0" applyNumberFormat="1" applyFont="1" applyFill="1" applyBorder="1"/>
    <xf numFmtId="178" fontId="22" fillId="6" borderId="0" xfId="0" applyNumberFormat="1" applyFont="1" applyFill="1" applyBorder="1"/>
    <xf numFmtId="178" fontId="22" fillId="6" borderId="0" xfId="0" applyNumberFormat="1" applyFont="1" applyFill="1" applyBorder="1" applyAlignment="1">
      <alignment horizontal="right"/>
    </xf>
    <xf numFmtId="0" fontId="24" fillId="6" borderId="0" xfId="0" applyNumberFormat="1" applyFont="1" applyFill="1" applyBorder="1"/>
    <xf numFmtId="166" fontId="24" fillId="6" borderId="0" xfId="0" applyNumberFormat="1" applyFont="1" applyFill="1"/>
    <xf numFmtId="166" fontId="25" fillId="6" borderId="0" xfId="0" applyNumberFormat="1" applyFont="1" applyFill="1"/>
    <xf numFmtId="0" fontId="24" fillId="6" borderId="0" xfId="0" applyNumberFormat="1" applyFont="1" applyFill="1"/>
    <xf numFmtId="167" fontId="25" fillId="6" borderId="0" xfId="0" applyNumberFormat="1" applyFont="1" applyFill="1"/>
    <xf numFmtId="166" fontId="51" fillId="6" borderId="0" xfId="0" applyNumberFormat="1" applyFont="1" applyFill="1"/>
    <xf numFmtId="44" fontId="25" fillId="6" borderId="0" xfId="0" applyNumberFormat="1" applyFont="1" applyFill="1"/>
    <xf numFmtId="44" fontId="50" fillId="6" borderId="0" xfId="0" applyNumberFormat="1" applyFont="1" applyFill="1" applyBorder="1"/>
    <xf numFmtId="44" fontId="50" fillId="6" borderId="0" xfId="0" applyNumberFormat="1" applyFont="1" applyFill="1"/>
    <xf numFmtId="167" fontId="50" fillId="6" borderId="0" xfId="0" applyNumberFormat="1" applyFont="1" applyFill="1"/>
    <xf numFmtId="44" fontId="7" fillId="6" borderId="0" xfId="0" applyNumberFormat="1" applyFont="1" applyFill="1" applyBorder="1" applyAlignment="1">
      <alignment horizontal="right"/>
    </xf>
    <xf numFmtId="164" fontId="0" fillId="6" borderId="0" xfId="0" applyNumberFormat="1" applyFont="1" applyFill="1" applyBorder="1"/>
    <xf numFmtId="170" fontId="24" fillId="6" borderId="0" xfId="0" applyNumberFormat="1" applyFont="1" applyFill="1" applyBorder="1" applyAlignment="1">
      <alignment horizontal="right"/>
    </xf>
    <xf numFmtId="170" fontId="0" fillId="6" borderId="0" xfId="0" applyNumberFormat="1" applyFont="1" applyFill="1" applyBorder="1" applyAlignment="1">
      <alignment horizontal="right"/>
    </xf>
    <xf numFmtId="184" fontId="0" fillId="6" borderId="0" xfId="0" applyNumberFormat="1" applyFont="1" applyFill="1" applyBorder="1" applyAlignment="1">
      <alignment horizontal="right"/>
    </xf>
    <xf numFmtId="184" fontId="24" fillId="6" borderId="0" xfId="0" applyNumberFormat="1" applyFont="1" applyFill="1" applyBorder="1"/>
    <xf numFmtId="189" fontId="0" fillId="6" borderId="0" xfId="0" applyNumberFormat="1" applyFont="1" applyFill="1" applyBorder="1" applyAlignment="1">
      <alignment horizontal="right"/>
    </xf>
    <xf numFmtId="189" fontId="24" fillId="6" borderId="0" xfId="0" applyNumberFormat="1" applyFont="1" applyFill="1" applyBorder="1"/>
    <xf numFmtId="185" fontId="0" fillId="6" borderId="0" xfId="0" applyNumberFormat="1" applyFont="1" applyFill="1" applyBorder="1" applyAlignment="1">
      <alignment horizontal="right"/>
    </xf>
    <xf numFmtId="185" fontId="24" fillId="6" borderId="0" xfId="0" applyNumberFormat="1" applyFont="1" applyFill="1" applyBorder="1"/>
    <xf numFmtId="17" fontId="32" fillId="6" borderId="0" xfId="33" applyNumberFormat="1" applyFont="1" applyFill="1" applyBorder="1" applyAlignment="1">
      <alignment horizontal="center"/>
      <protection/>
    </xf>
    <xf numFmtId="17" fontId="33" fillId="6" borderId="0" xfId="33" applyNumberFormat="1" applyFont="1" applyFill="1" applyBorder="1" applyAlignment="1">
      <alignment horizontal="center"/>
      <protection/>
    </xf>
    <xf numFmtId="164" fontId="29" fillId="6" borderId="0" xfId="33" applyNumberFormat="1" applyFont="1" applyFill="1" applyBorder="1" applyAlignment="1">
      <alignment horizontal="center"/>
      <protection/>
    </xf>
    <xf numFmtId="44" fontId="25" fillId="6" borderId="0" xfId="33" applyNumberFormat="1" applyFont="1" applyFill="1" applyBorder="1" applyAlignment="1">
      <alignment horizontal="right"/>
      <protection/>
    </xf>
    <xf numFmtId="44" fontId="25" fillId="6" borderId="0" xfId="33" applyNumberFormat="1" applyFont="1" applyFill="1" applyBorder="1">
      <alignment/>
      <protection/>
    </xf>
    <xf numFmtId="164" fontId="24" fillId="6" borderId="2" xfId="33" applyNumberFormat="1" applyFont="1" applyFill="1" applyBorder="1" applyAlignment="1">
      <alignment horizontal="right"/>
      <protection/>
    </xf>
    <xf numFmtId="164" fontId="24" fillId="6" borderId="2" xfId="33" applyNumberFormat="1" applyFont="1" applyFill="1" applyBorder="1">
      <alignment/>
      <protection/>
    </xf>
    <xf numFmtId="164" fontId="25" fillId="6" borderId="7" xfId="33" applyNumberFormat="1" applyFont="1" applyFill="1" applyBorder="1">
      <alignment/>
      <protection/>
    </xf>
    <xf numFmtId="166" fontId="24" fillId="6" borderId="9" xfId="33" applyNumberFormat="1" applyFont="1" applyFill="1" applyBorder="1">
      <alignment/>
      <protection/>
    </xf>
    <xf numFmtId="167" fontId="25" fillId="6" borderId="0" xfId="33" applyNumberFormat="1" applyFont="1" applyFill="1" applyBorder="1">
      <alignment/>
      <protection/>
    </xf>
    <xf numFmtId="178" fontId="25" fillId="6" borderId="0" xfId="33" applyNumberFormat="1" applyFont="1" applyFill="1" applyBorder="1">
      <alignment/>
      <protection/>
    </xf>
    <xf numFmtId="169" fontId="25" fillId="6" borderId="0" xfId="33" applyNumberFormat="1" applyFont="1" applyFill="1" applyBorder="1">
      <alignment/>
      <protection/>
    </xf>
    <xf numFmtId="44" fontId="25" fillId="6" borderId="0" xfId="33" applyNumberFormat="1" applyFont="1" applyFill="1" applyBorder="1" applyAlignment="1">
      <alignment horizontal="center"/>
      <protection/>
    </xf>
    <xf numFmtId="167" fontId="24" fillId="6" borderId="0" xfId="33" applyNumberFormat="1" applyFont="1" applyFill="1" applyBorder="1" applyAlignment="1">
      <alignment horizontal="center"/>
      <protection/>
    </xf>
    <xf numFmtId="178" fontId="24" fillId="6" borderId="0" xfId="33" applyNumberFormat="1" applyFont="1" applyFill="1" applyBorder="1" applyAlignment="1">
      <alignment horizontal="right"/>
      <protection/>
    </xf>
    <xf numFmtId="164" fontId="25" fillId="6" borderId="0" xfId="33" applyNumberFormat="1" applyFont="1" applyFill="1" applyBorder="1">
      <alignment/>
      <protection/>
    </xf>
    <xf numFmtId="170" fontId="24" fillId="6" borderId="0" xfId="33" applyNumberFormat="1" applyFont="1" applyFill="1" applyBorder="1" applyAlignment="1">
      <alignment horizontal="right"/>
      <protection/>
    </xf>
    <xf numFmtId="167" fontId="24" fillId="6" borderId="0" xfId="33" applyNumberFormat="1" applyFont="1" applyFill="1" applyBorder="1" applyAlignment="1">
      <alignment horizontal="right"/>
      <protection/>
    </xf>
  </cellXfs>
  <cellStyles count="23">
    <cellStyle name="Normal" xfId="0" builtinId="0"/>
    <cellStyle name="Percent" xfId="15"/>
    <cellStyle name="Currency" xfId="16"/>
    <cellStyle name="Currency [0]" xfId="17"/>
    <cellStyle name="Comma" xfId="18"/>
    <cellStyle name="Comma [0]" xfId="19"/>
    <cellStyle name="Currency 2" xfId="20"/>
    <cellStyle name="Currency 2 2" xfId="21"/>
    <cellStyle name="Currency 2 3" xfId="22"/>
    <cellStyle name="Currency 2 4" xfId="23"/>
    <cellStyle name="Good" xfId="24"/>
    <cellStyle name="Hyperlink" xfId="25"/>
    <cellStyle name="Hyperlink 2" xfId="26"/>
    <cellStyle name="Normal 2" xfId="27"/>
    <cellStyle name="Normal 2 2" xfId="28"/>
    <cellStyle name="Normal 2 3" xfId="29"/>
    <cellStyle name="Normal 3" xfId="30"/>
    <cellStyle name="Normal 3 2" xfId="31"/>
    <cellStyle name="Normal 3 3" xfId="32"/>
    <cellStyle name="Normal 4" xfId="33"/>
    <cellStyle name="Percent 2" xfId="34"/>
    <cellStyle name="Percent 2 2" xfId="35"/>
    <cellStyle name="Percent 2 3" xfId="36"/>
  </cellStyles>
  <dxfs count="11">
    <dxf>
      <fill>
        <patternFill>
          <bgColor rgb="FFFFC7CE"/>
        </patternFill>
      </fill>
    </dxf>
    <dxf>
      <fill>
        <patternFill>
          <bgColor rgb="FFC6EFCE"/>
        </patternFill>
      </fill>
    </dxf>
    <dxf>
      <fill>
        <patternFill>
          <bgColor rgb="FFFFC7CE"/>
        </patternFill>
      </fill>
    </dxf>
    <dxf>
      <fill>
        <patternFill>
          <bgColor rgb="FFC6EFCE"/>
        </patternFill>
      </fill>
    </dxf>
    <dxf>
      <fill>
        <patternFill>
          <bgColor rgb="FFFFC7CE"/>
        </patternFill>
      </fill>
    </dxf>
    <dxf>
      <fill>
        <patternFill>
          <bgColor rgb="FFC6EFCE"/>
        </patternFill>
      </fill>
    </dxf>
    <dxf>
      <fill>
        <patternFill>
          <bgColor rgb="FFFFC7CE"/>
        </patternFill>
      </fill>
    </dxf>
    <dxf>
      <fill>
        <patternFill>
          <bgColor rgb="FFC6EFCE"/>
        </patternFill>
      </fill>
    </dxf>
    <dxf>
      <fill>
        <patternFill>
          <bgColor rgb="FFFFC7CE"/>
        </patternFill>
      </fill>
    </dxf>
    <dxf>
      <fill>
        <patternFill>
          <bgColor rgb="FFC6EFCE"/>
        </patternFill>
      </fill>
    </dxf>
    <dxf>
      <font>
        <color rgb="FFF2F2F2"/>
      </font>
      <fill>
        <patternFill>
          <bgColor rgb="FFF2F2F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1.xml" /><Relationship Id="rId10" Type="http://schemas.openxmlformats.org/officeDocument/2006/relationships/customXml" Target="../customXml/item2.xml" /><Relationship Id="rId9" Type="http://schemas.openxmlformats.org/officeDocument/2006/relationships/customXml" Target="../customXml/item1.xml" /><Relationship Id="rId11" Type="http://schemas.openxmlformats.org/officeDocument/2006/relationships/calcChain" Target="calcChain.xml" /><Relationship Id="rId1" Type="http://schemas.openxmlformats.org/officeDocument/2006/relationships/theme" Target="theme/theme1.xml" /><Relationship Id="rId8" Type="http://schemas.openxmlformats.org/officeDocument/2006/relationships/sharedStrings" Target="sharedStrings.xml" /><Relationship Id="rId4" Type="http://schemas.openxmlformats.org/officeDocument/2006/relationships/worksheet" Target="worksheets/sheet2.xml" /><Relationship Id="rId2" Type="http://schemas.openxmlformats.org/officeDocument/2006/relationships/styles" Target="styles.xml" /><Relationship Id="rId7" Type="http://schemas.openxmlformats.org/officeDocument/2006/relationships/worksheet" Target="worksheets/sheet5.xml" /><Relationship Id="rId5" Type="http://schemas.openxmlformats.org/officeDocument/2006/relationships/worksheet" Target="worksheets/sheet3.xml" /><Relationship Id="rId6" Type="http://schemas.openxmlformats.org/officeDocument/2006/relationships/worksheet" Target="worksheets/sheet4.xml" /></Relationships>
</file>

<file path=xl/drawings/_rels/drawing1.xml.rels><?xml version="1.0" encoding="UTF-8" standalone="yes"?><Relationships xmlns="http://schemas.openxmlformats.org/package/2006/relationships"><Relationship Id="rId1" Type="http://schemas.openxmlformats.org/officeDocument/2006/relationships/image" Target="../media/image1.png" /></Relationships>
</file>

<file path=xl/drawings/_rels/drawing2.xml.rels><?xml version="1.0" encoding="UTF-8" standalone="yes"?><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editAs="oneCell">
    <xdr:from>
      <xdr:col>2</xdr:col>
      <xdr:colOff>0</xdr:colOff>
      <xdr:row>5</xdr:row>
      <xdr:rowOff>0</xdr:rowOff>
    </xdr:from>
    <xdr:to>
      <xdr:col>3</xdr:col>
      <xdr:colOff>885825</xdr:colOff>
      <xdr:row>7</xdr:row>
      <xdr:rowOff>76200</xdr:rowOff>
    </xdr:to>
    <xdr:pic>
      <xdr:nvPicPr>
        <xdr:cNvPr id="8" name="TegusBrandLogo">
          <a:extLst>
            <a:ext uri="{FF2B5EF4-FFF2-40B4-BE49-F238E27FC236}">
              <a16:creationId xmlns:a16="http://schemas.microsoft.com/office/drawing/2014/main" id="{479c5ea4-46e8-4917-8d4a-a3526a9b5a78}"/>
            </a:ext>
          </a:extLst>
        </xdr:cNvPr>
        <xdr:cNvPicPr>
          <a:picLocks noChangeAspect="1"/>
        </xdr:cNvPicPr>
      </xdr:nvPicPr>
      <xdr:blipFill>
        <a:blip r:embed="rId1"/>
        <a:stretch>
          <a:fillRect/>
        </a:stretch>
      </xdr:blipFill>
      <xdr:spPr>
        <a:xfrm>
          <a:off x="895350" y="952500"/>
          <a:ext cx="1571625" cy="552450"/>
        </a:xfrm>
        <a:prstGeom prst="rect"/>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editAs="oneCell">
    <xdr:from>
      <xdr:col>2</xdr:col>
      <xdr:colOff>0</xdr:colOff>
      <xdr:row>5</xdr:row>
      <xdr:rowOff>0</xdr:rowOff>
    </xdr:from>
    <xdr:to>
      <xdr:col>3</xdr:col>
      <xdr:colOff>419100</xdr:colOff>
      <xdr:row>7</xdr:row>
      <xdr:rowOff>76200</xdr:rowOff>
    </xdr:to>
    <xdr:pic>
      <xdr:nvPicPr>
        <xdr:cNvPr id="8" name="TegusBrandLogo">
          <a:extLst>
            <a:ext uri="{FF2B5EF4-FFF2-40B4-BE49-F238E27FC236}">
              <a16:creationId xmlns:a16="http://schemas.microsoft.com/office/drawing/2014/main" id="{4fcb2288-f225-4680-9dcf-690dfe841c6e}"/>
            </a:ext>
          </a:extLst>
        </xdr:cNvPr>
        <xdr:cNvPicPr>
          <a:picLocks noChangeAspect="1"/>
        </xdr:cNvPicPr>
      </xdr:nvPicPr>
      <xdr:blipFill>
        <a:blip r:embed="rId1"/>
        <a:stretch>
          <a:fillRect/>
        </a:stretch>
      </xdr:blipFill>
      <xdr:spPr>
        <a:xfrm>
          <a:off x="942975" y="952500"/>
          <a:ext cx="1466850" cy="504825"/>
        </a:xfrm>
        <a:prstGeom prst="rec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4" Type="http://schemas.openxmlformats.org/officeDocument/2006/relationships/drawing" Target="../drawings/drawing1.xml" /><Relationship Id="rId2" Type="http://schemas.openxmlformats.org/officeDocument/2006/relationships/hyperlink" Target="mailto:support@canalyst.com?subject=Canalyst%20Support:%20Aflac%20Incorporated%20AFL%20US&amp;body=Model%20Version:%20Q1-2019.21" TargetMode="External" /><Relationship Id="rId1" Type="http://schemas.openxmlformats.org/officeDocument/2006/relationships/hyperlink" Target="mailto:support@canalyst.com?subject=Canalyst%20Support:%20Aflac%20Incorporated%20AFL%20US&amp;body=Model%20Version:%20FY2018.20" TargetMode="External" /><Relationship Id="rId3" Type="http://schemas.openxmlformats.org/officeDocument/2006/relationships/hyperlink" Target="https://app.tegus.co/app/account/excel-add-in" TargetMode="External" /></Relationships>
</file>

<file path=xl/worksheets/_rels/sheet2.xml.rels><?xml version="1.0" encoding="UTF-8" standalone="yes"?><Relationships xmlns="http://schemas.openxmlformats.org/package/2006/relationships"><Relationship Id="rId4" Type="http://schemas.openxmlformats.org/officeDocument/2006/relationships/printerSettings" Target="../printerSettings/printerSettings1.bin" /><Relationship Id="rId2" Type="http://schemas.openxmlformats.org/officeDocument/2006/relationships/comments" Target="../comments2.xml" /><Relationship Id="rId1" Type="http://schemas.openxmlformats.org/officeDocument/2006/relationships/hyperlink" Target="http://investors.aflac.com/" TargetMode="External" /><Relationship Id="rId3" Type="http://schemas.openxmlformats.org/officeDocument/2006/relationships/vmlDrawing" Target="../drawings/vmlDrawing1.vml" /></Relationships>
</file>

<file path=xl/worksheets/_rels/sheet3.xml.rels><?xml version="1.0" encoding="UTF-8" standalone="yes"?><Relationships xmlns="http://schemas.openxmlformats.org/package/2006/relationships"><Relationship Id="rId21" Type="http://schemas.openxmlformats.org/officeDocument/2006/relationships/hyperlink" Target="https://s24.q4cdn.com/367535798/files/doc_financials/2023/q4/Max-Teleconference-Presentation-Q423-slides.pdf" TargetMode="External" /><Relationship Id="rId16" Type="http://schemas.openxmlformats.org/officeDocument/2006/relationships/hyperlink" Target="https://s24.q4cdn.com/367535798/files/doc_financials/2023/q4/Max-Teleconference-Presentation-Q423-slides.pdf" TargetMode="External" /><Relationship Id="rId17" Type="http://schemas.openxmlformats.org/officeDocument/2006/relationships/hyperlink" Target="https://s24.q4cdn.com/367535798/files/doc_financials/2023/q4/Max-Teleconference-Presentation-Q423-slides.pdf" TargetMode="External" /><Relationship Id="rId20" Type="http://schemas.openxmlformats.org/officeDocument/2006/relationships/hyperlink" Target="https://s24.q4cdn.com/367535798/files/doc_financials/2023/q4/Max-Teleconference-Presentation-Q423-slides.pdf" TargetMode="External" /><Relationship Id="rId2" Type="http://schemas.openxmlformats.org/officeDocument/2006/relationships/hyperlink" Target="https://www.aflac.com/about-aflac/newsroom/press-release-story.aspx?rid=930" TargetMode="External" /><Relationship Id="rId29" Type="http://schemas.openxmlformats.org/officeDocument/2006/relationships/hyperlink" Target="https://s24.q4cdn.com/367535798/files/doc_financials/2024/q2/Max-Teleconference-Presentation-Q224-final.pdf" TargetMode="External" /><Relationship Id="rId11" Type="http://schemas.openxmlformats.org/officeDocument/2006/relationships/hyperlink" Target="https://www.aflac.com/about-aflac/newsroom/press-release-story.aspx?rid=1010" TargetMode="External" /><Relationship Id="rId8" Type="http://schemas.openxmlformats.org/officeDocument/2006/relationships/hyperlink" Target="https://www.aflac.com/about-aflac/newsroom/press-release-story.aspx?rid=979" TargetMode="External" /><Relationship Id="rId24" Type="http://schemas.openxmlformats.org/officeDocument/2006/relationships/hyperlink" Target="https://s24.q4cdn.com/367535798/files/doc_financials/2023/q4/Max-Teleconference-Presentation-Q423-slides.pdf" TargetMode="External" /><Relationship Id="rId13" Type="http://schemas.openxmlformats.org/officeDocument/2006/relationships/hyperlink" Target="https://www.aflac.com/about-aflac/newsroom/press-release-story.aspx?rid=1010" TargetMode="External" /><Relationship Id="rId23" Type="http://schemas.openxmlformats.org/officeDocument/2006/relationships/hyperlink" Target="https://s24.q4cdn.com/367535798/files/doc_financials/2023/q4/Max-Teleconference-Presentation-Q423-slides.pdf" TargetMode="External" /><Relationship Id="rId1" Type="http://schemas.openxmlformats.org/officeDocument/2006/relationships/hyperlink" Target="https://www.aflac.com/about-aflac/newsroom/press-release-story.aspx?rid=930" TargetMode="External" /><Relationship Id="rId6" Type="http://schemas.openxmlformats.org/officeDocument/2006/relationships/hyperlink" Target="https://www.aflac.com/about-aflac/newsroom/press-release-story.aspx?rid=930" TargetMode="External" /><Relationship Id="rId25" Type="http://schemas.openxmlformats.org/officeDocument/2006/relationships/hyperlink" Target="https://s24.q4cdn.com/367535798/files/doc_financials/2023/q4/Max-Teleconference-Presentation-Q423-slides.pdf" TargetMode="External" /><Relationship Id="rId7" Type="http://schemas.openxmlformats.org/officeDocument/2006/relationships/hyperlink" Target="https://www.aflac.com/about-aflac/newsroom/press-release-story.aspx?rid=979" TargetMode="External" /><Relationship Id="rId4" Type="http://schemas.openxmlformats.org/officeDocument/2006/relationships/hyperlink" Target="https://www.aflac.com/about-aflac/newsroom/press-release-story.aspx?rid=930" TargetMode="External" /><Relationship Id="rId15" Type="http://schemas.openxmlformats.org/officeDocument/2006/relationships/hyperlink" Target="https://s24.q4cdn.com/367535798/files/doc_financials/2020/q1/1Q-2020-PR.pdf" TargetMode="External" /><Relationship Id="rId14" Type="http://schemas.openxmlformats.org/officeDocument/2006/relationships/hyperlink" Target="https://www.aflac.com/about-aflac/newsroom/press-release-story.aspx?rid=1010" TargetMode="External" /><Relationship Id="rId31" Type="http://schemas.openxmlformats.org/officeDocument/2006/relationships/hyperlink" Target="https://s24.q4cdn.com/367535798/files/doc_financials/2024/q2/Max-Teleconference-Presentation-Q224-final.pdf" TargetMode="External" /><Relationship Id="rId28" Type="http://schemas.openxmlformats.org/officeDocument/2006/relationships/hyperlink" Target="https://s24.q4cdn.com/367535798/files/doc_financials/2024/q2/Max-Teleconference-Presentation-Q224-final.pdf" TargetMode="External" /><Relationship Id="rId22" Type="http://schemas.openxmlformats.org/officeDocument/2006/relationships/hyperlink" Target="https://s24.q4cdn.com/367535798/files/doc_financials/2023/q4/Max-Teleconference-Presentation-Q423-slides.pdf" TargetMode="External" /><Relationship Id="rId32" Type="http://schemas.openxmlformats.org/officeDocument/2006/relationships/comments" Target="../comments3.xml" /><Relationship Id="rId3" Type="http://schemas.openxmlformats.org/officeDocument/2006/relationships/hyperlink" Target="https://www.aflac.com/about-aflac/newsroom/press-release-story.aspx?rid=930" TargetMode="External" /><Relationship Id="rId10" Type="http://schemas.openxmlformats.org/officeDocument/2006/relationships/hyperlink" Target="https://www.aflac.com/about-aflac/newsroom/press-release-story.aspx?rid=991" TargetMode="External" /><Relationship Id="rId26" Type="http://schemas.openxmlformats.org/officeDocument/2006/relationships/hyperlink" Target="https://s24.q4cdn.com/367535798/files/doc_financials/2024/q2/Max-Teleconference-Presentation-Q224-final.pdf" TargetMode="External" /><Relationship Id="rId18" Type="http://schemas.openxmlformats.org/officeDocument/2006/relationships/hyperlink" Target="https://s24.q4cdn.com/367535798/files/doc_financials/2023/q4/Max-Teleconference-Presentation-Q423-slides.pdf" TargetMode="External" /><Relationship Id="rId12" Type="http://schemas.openxmlformats.org/officeDocument/2006/relationships/hyperlink" Target="https://www.aflac.com/about-aflac/newsroom/press-release-story.aspx?rid=1010" TargetMode="External" /><Relationship Id="rId27" Type="http://schemas.openxmlformats.org/officeDocument/2006/relationships/hyperlink" Target="https://s24.q4cdn.com/367535798/files/doc_financials/2024/q2/Max-Teleconference-Presentation-Q224-final.pdf" TargetMode="External" /><Relationship Id="rId9" Type="http://schemas.openxmlformats.org/officeDocument/2006/relationships/hyperlink" Target="https://www.aflac.com/about-aflac/newsroom/press-release-story.aspx?rid=991" TargetMode="External" /><Relationship Id="rId30" Type="http://schemas.openxmlformats.org/officeDocument/2006/relationships/hyperlink" Target="https://s24.q4cdn.com/367535798/files/doc_financials/2024/q2/Max-Teleconference-Presentation-Q224-final.pdf" TargetMode="External" /><Relationship Id="rId34" Type="http://schemas.openxmlformats.org/officeDocument/2006/relationships/printerSettings" Target="../printerSettings/printerSettings2.bin" /><Relationship Id="rId5" Type="http://schemas.openxmlformats.org/officeDocument/2006/relationships/hyperlink" Target="https://www.aflac.com/about-aflac/newsroom/press-release-story.aspx?rid=930" TargetMode="External" /><Relationship Id="rId33" Type="http://schemas.openxmlformats.org/officeDocument/2006/relationships/vmlDrawing" Target="../drawings/vmlDrawing2.vml" /><Relationship Id="rId19" Type="http://schemas.openxmlformats.org/officeDocument/2006/relationships/hyperlink" Target="https://s24.q4cdn.com/367535798/files/doc_financials/2023/q4/Max-Teleconference-Presentation-Q423-slides.pdf" TargetMode="External" /></Relationships>
</file>

<file path=xl/worksheets/_rels/sheet5.xml.rels><?xml version="1.0" encoding="UTF-8" standalone="yes"?><Relationships xmlns="http://schemas.openxmlformats.org/package/2006/relationships"><Relationship Id="rId40" Type="http://schemas.openxmlformats.org/officeDocument/2006/relationships/hyperlink" Target="https://investors.aflac.com/press-releases/press-release-details/2023/Aflac-Incorporated-Announces-Second-Quarter-Results-Reports-Second-Quarter-Net-Earnings-of-1.6-Billion-Declares-Third-Quarter-Cash-Dividend/default.aspx" TargetMode="External" /><Relationship Id="rId45" Type="http://schemas.openxmlformats.org/officeDocument/2006/relationships/hyperlink" Target="https://investors.aflac.com/press-releases/press-release-details/2024/Aflac-Incorporated-Announces-First-Quarter-Results-Reports-First-Quarter-Net-Earnings-of-1.9-Billion-Declares-Second-Quarter-Cash-Dividend/default.aspx" TargetMode="External" /><Relationship Id="rId49" Type="http://schemas.openxmlformats.org/officeDocument/2006/relationships/drawing" Target="../drawings/drawing2.xml" /><Relationship Id="rId21" Type="http://schemas.openxmlformats.org/officeDocument/2006/relationships/hyperlink" Target="https://investors.aflac.com/press-releases/press-release-details/2021/Aflac-Incorporated-Announces-First-Quarter-Results-Reports-First-Quarter-Net-Earnings-of-1.3-Billion-Declares-Second-Quarter-Cash-Dividend/default.aspx" TargetMode="External" /><Relationship Id="rId36" Type="http://schemas.openxmlformats.org/officeDocument/2006/relationships/hyperlink" Target="https://s24.q4cdn.com/367535798/files/doc_financials/2022/q4/4Q-2022-Earnings-Release-Draft-1-31-23.pdf" TargetMode="External" /><Relationship Id="rId16" Type="http://schemas.openxmlformats.org/officeDocument/2006/relationships/hyperlink" Target="https://s24.q4cdn.com/367535798/files/doc_financials/2020/q2/2QT-2020-PR.pdf" TargetMode="External" /><Relationship Id="rId17" Type="http://schemas.openxmlformats.org/officeDocument/2006/relationships/hyperlink" Target="https://s24.q4cdn.com/367535798/files/doc_financials/2020/q3/3Q-2020-PR-Final-Draft.pdf" TargetMode="External" /><Relationship Id="rId37" Type="http://schemas.openxmlformats.org/officeDocument/2006/relationships/hyperlink" Target="https://investors.aflac.com/press-releases/press-release-details/2023/Aflac-Incorporated-Announces-First-Quarter-Results-Reports-First-Quarter-Net-Earnings-of-1.2-Billion-Declares-Second-Quarter-Cash-Dividend/default.aspx" TargetMode="External" /><Relationship Id="rId38" Type="http://schemas.openxmlformats.org/officeDocument/2006/relationships/hyperlink" Target="https://investors.aflac.com/press-releases/press-release-details/2023/Aflac-Incorporated-Announces-First-Quarter-Results-Reports-First-Quarter-Net-Earnings-of-1.2-Billion-Declares-Second-Quarter-Cash-Dividend/default.aspx" TargetMode="External" /><Relationship Id="rId20" Type="http://schemas.openxmlformats.org/officeDocument/2006/relationships/hyperlink" Target="https://s24.q4cdn.com/367535798/files/doc_financials/2020/q4/4QT-2020-Earnings-Release-Final.pdf" TargetMode="External" /><Relationship Id="rId41" Type="http://schemas.openxmlformats.org/officeDocument/2006/relationships/hyperlink" Target="https://investors.aflac.com/press-releases/press-release-details/2023/Aflac-Incorporated-Announces-Third-Quarter-Results-Reports-Third-Quarter-Net-Earnings-of-1.6-Billion-Declares-Fourth-Quarter-Dividend-Increases-First-Quarter-2024-Dividend-19/default.aspx" TargetMode="External" /><Relationship Id="rId2" Type="http://schemas.openxmlformats.org/officeDocument/2006/relationships/hyperlink" Target="https://www.aflac.com/about-aflac/newsroom/press-release-story.aspx?rid=930" TargetMode="External" /><Relationship Id="rId29" Type="http://schemas.openxmlformats.org/officeDocument/2006/relationships/hyperlink" Target="https://s24.q4cdn.com/367535798/files/doc_financials/2022/q1/1Q-2022-Earnings-Release-4-27-22.pdf" TargetMode="External" /><Relationship Id="rId43" Type="http://schemas.openxmlformats.org/officeDocument/2006/relationships/hyperlink" Target="https://s24.q4cdn.com/367535798/files/doc_financials/2023/q4/FINAL-4Q-2023-Earnings-Release.pdf" TargetMode="External" /><Relationship Id="rId11" Type="http://schemas.openxmlformats.org/officeDocument/2006/relationships/hyperlink" Target="https://www.aflac.com/about-aflac/newsroom/press-release-story.aspx?rid=991" TargetMode="External" /><Relationship Id="rId8" Type="http://schemas.openxmlformats.org/officeDocument/2006/relationships/hyperlink" Target="http://investors.aflac.com/~/media/Files/A/Aflac-IR/financial-reporting/quaterly-reports/2017/2017-quarterly-report-second-quarter.pdf" TargetMode="External" /><Relationship Id="rId24" Type="http://schemas.openxmlformats.org/officeDocument/2006/relationships/hyperlink" Target="https://investors.aflac.com/press-releases/press-release-details/2021/Aflac-Incorporated-Announces-Second-Quarter-Results-Reports-Second-Quarter-Net-Earnings-of-1.1-Billion-Declares-Third-Quarter-Cash-Dividend/default.aspx" TargetMode="External" /><Relationship Id="rId35" Type="http://schemas.openxmlformats.org/officeDocument/2006/relationships/hyperlink" Target="https://s24.q4cdn.com/367535798/files/doc_financials/2022/q4/4Q-2022-Earnings-Release-Draft-1-31-23.pdf" TargetMode="External" /><Relationship Id="rId13" Type="http://schemas.openxmlformats.org/officeDocument/2006/relationships/hyperlink" Target="https://s24.q4cdn.com/367535798/files/doc_financials/2020/q1/1Q-2020-PR.pdf" TargetMode="External" /><Relationship Id="rId42" Type="http://schemas.openxmlformats.org/officeDocument/2006/relationships/hyperlink" Target="https://s24.q4cdn.com/367535798/files/doc_financials/2023/q4/FINAL-4Q-2023-Earnings-Release.pdf" TargetMode="External" /><Relationship Id="rId23" Type="http://schemas.openxmlformats.org/officeDocument/2006/relationships/hyperlink" Target="https://investors.aflac.com/press-releases/press-release-details/2021/Aflac-Incorporated-Announces-Second-Quarter-Results-Reports-Second-Quarter-Net-Earnings-of-1.1-Billion-Declares-Third-Quarter-Cash-Dividend/default.aspx" TargetMode="External" /><Relationship Id="rId1" Type="http://schemas.openxmlformats.org/officeDocument/2006/relationships/hyperlink" Target="http://investors.aflac.com/~/media/Files/A/Aflac-IR/financial-reporting/quaterly-reports/2018/2018-quarterly-report-fourth-quarter.pdf" TargetMode="External" /><Relationship Id="rId6" Type="http://schemas.openxmlformats.org/officeDocument/2006/relationships/hyperlink" Target="http://investors.aflac.com/~/media/Files/A/Aflac-IR/financial-reporting/quaterly-reports/2017/2017-quarterly-report-third-quarter.pdf" TargetMode="External" /><Relationship Id="rId25" Type="http://schemas.openxmlformats.org/officeDocument/2006/relationships/hyperlink" Target="https://s24.q4cdn.com/367535798/files/doc_financials/2021/q3/Final-3QT-2021-Earnings-Release.pdf" TargetMode="External" /><Relationship Id="rId7" Type="http://schemas.openxmlformats.org/officeDocument/2006/relationships/hyperlink" Target="http://investors.aflac.com/~/media/Files/A/Aflac-IR/financial-reporting/quaterly-reports/2017/2017-quarterly-report-second-quarter.pdf" TargetMode="External" /><Relationship Id="rId4" Type="http://schemas.openxmlformats.org/officeDocument/2006/relationships/hyperlink" Target="http://investors.aflac.com/~/media/Files/A/Aflac-IR/financial-reporting/quaterly-reports/2018/2018-quarterly-report-first-quarter.pdf" TargetMode="External" /><Relationship Id="rId15" Type="http://schemas.openxmlformats.org/officeDocument/2006/relationships/hyperlink" Target="https://s24.q4cdn.com/367535798/files/doc_financials/2020/q2/2QT-2020-PR.pdf" TargetMode="External" /><Relationship Id="rId14" Type="http://schemas.openxmlformats.org/officeDocument/2006/relationships/hyperlink" Target="https://s24.q4cdn.com/367535798/files/doc_financials/2020/q1/1Q-2020-PR.pdf" TargetMode="External" /><Relationship Id="rId31" Type="http://schemas.openxmlformats.org/officeDocument/2006/relationships/hyperlink" Target="https://investors.aflac.com/press-releases/press-release-details/2022/Aflac-Incorporated-Announces-Second-Quarter-Results-Reports-Second-Quarter-Net-Earnings-of-1.4-Billion-Declares-Third-Quarter-Cash-Dividend/default.aspx" TargetMode="External" /><Relationship Id="rId28" Type="http://schemas.openxmlformats.org/officeDocument/2006/relationships/hyperlink" Target="https://investors.aflac.com/press-releases/press-release-details/2022/Aflac-Incorporated-Announces-Fourth-Quarter-Results-Reports-Fourth-Quarter-Net-Earnings-of-1.0-Billion-Reiterates-Increase-in-First-Quarter-Cash-Dividend-of-21.2/default.aspx" TargetMode="External" /><Relationship Id="rId22" Type="http://schemas.openxmlformats.org/officeDocument/2006/relationships/hyperlink" Target="https://investors.aflac.com/press-releases/press-release-details/2021/Aflac-Incorporated-Announces-First-Quarter-Results-Reports-First-Quarter-Net-Earnings-of-1.3-Billion-Declares-Second-Quarter-Cash-Dividend/default.aspx" TargetMode="External" /><Relationship Id="rId32" Type="http://schemas.openxmlformats.org/officeDocument/2006/relationships/hyperlink" Target="https://investors.aflac.com/press-releases/press-release-details/2022/Aflac-Incorporated-Announces-Second-Quarter-Results-Reports-Second-Quarter-Net-Earnings-of-1.4-Billion-Declares-Third-Quarter-Cash-Dividend/default.aspx" TargetMode="External" /><Relationship Id="rId3" Type="http://schemas.openxmlformats.org/officeDocument/2006/relationships/hyperlink" Target="https://www.aflac.com/about-aflac/newsroom/press-release-story.aspx?rid=914" TargetMode="External" /><Relationship Id="rId46" Type="http://schemas.openxmlformats.org/officeDocument/2006/relationships/hyperlink" Target="https://investors.aflac.com/files/doc_financials/2024/q2/2Q-2024-Earnings-Release.pdf" TargetMode="External" /><Relationship Id="rId10" Type="http://schemas.openxmlformats.org/officeDocument/2006/relationships/hyperlink" Target="https://www.aflac.com/about-aflac/newsroom/press-release-story.aspx?rid=979" TargetMode="External" /><Relationship Id="rId26" Type="http://schemas.openxmlformats.org/officeDocument/2006/relationships/hyperlink" Target="https://s24.q4cdn.com/367535798/files/doc_financials/2021/q3/Final-3QT-2021-Earnings-Release.pdf" TargetMode="External" /><Relationship Id="rId18" Type="http://schemas.openxmlformats.org/officeDocument/2006/relationships/hyperlink" Target="https://s24.q4cdn.com/367535798/files/doc_financials/2020/q3/3Q-2020-PR-Final-Draft.pdf" TargetMode="External" /><Relationship Id="rId12" Type="http://schemas.openxmlformats.org/officeDocument/2006/relationships/hyperlink" Target="https://www.aflac.com/about-aflac/newsroom/press-release-story.aspx?rid=1010" TargetMode="External" /><Relationship Id="rId27" Type="http://schemas.openxmlformats.org/officeDocument/2006/relationships/hyperlink" Target="https://investors.aflac.com/press-releases/press-release-details/2022/Aflac-Incorporated-Announces-Fourth-Quarter-Results-Reports-Fourth-Quarter-Net-Earnings-of-1.0-Billion-Reiterates-Increase-in-First-Quarter-Cash-Dividend-of-21.2/default.aspx" TargetMode="External" /><Relationship Id="rId44" Type="http://schemas.openxmlformats.org/officeDocument/2006/relationships/hyperlink" Target="https://investors.aflac.com/press-releases/press-release-details/2024/Aflac-Incorporated-Announces-First-Quarter-Results-Reports-First-Quarter-Net-Earnings-of-1.9-Billion-Declares-Second-Quarter-Cash-Dividend/default.aspx" TargetMode="External" /><Relationship Id="rId9" Type="http://schemas.openxmlformats.org/officeDocument/2006/relationships/hyperlink" Target="https://www.aflac.com/about-aflac/newsroom/press-release-story.aspx?rid=968" TargetMode="External" /><Relationship Id="rId39" Type="http://schemas.openxmlformats.org/officeDocument/2006/relationships/hyperlink" Target="https://investors.aflac.com/press-releases/press-release-details/2023/Aflac-Incorporated-Announces-Second-Quarter-Results-Reports-Second-Quarter-Net-Earnings-of-1.6-Billion-Declares-Third-Quarter-Cash-Dividend/default.aspx" TargetMode="External" /><Relationship Id="rId47" Type="http://schemas.openxmlformats.org/officeDocument/2006/relationships/hyperlink" Target="https://investors.aflac.com/files/doc_financials/2024/q2/2Q-2024-Earnings-Release.pdf" TargetMode="External" /><Relationship Id="rId30" Type="http://schemas.openxmlformats.org/officeDocument/2006/relationships/hyperlink" Target="https://s24.q4cdn.com/367535798/files/doc_financials/2022/q1/1Q-2022-Earnings-Release-4-27-22.pdf" TargetMode="External" /><Relationship Id="rId34" Type="http://schemas.openxmlformats.org/officeDocument/2006/relationships/hyperlink" Target="https://investors.aflac.com/press-releases/press-release-details/2022/Aflac-Incorporated-Announces-Third-Quarter-Results-Reports-Third-Quarter-Net-Earnings-of-1.6-Billion-Declares-Fourth-Quarter-Cash-Dividend/default.aspx" TargetMode="External" /><Relationship Id="rId5" Type="http://schemas.openxmlformats.org/officeDocument/2006/relationships/hyperlink" Target="http://investors.aflac.com/~/media/Files/A/Aflac-IR/financial-reporting/quaterly-reports/2017/2017-quarterly-report-fourth-quarter.pdf" TargetMode="External" /><Relationship Id="rId33" Type="http://schemas.openxmlformats.org/officeDocument/2006/relationships/hyperlink" Target="https://investors.aflac.com/press-releases/press-release-details/2022/Aflac-Incorporated-Announces-Third-Quarter-Results-Reports-Third-Quarter-Net-Earnings-of-1.6-Billion-Declares-Fourth-Quarter-Cash-Dividend/default.aspx" TargetMode="External" /><Relationship Id="rId48" Type="http://schemas.openxmlformats.org/officeDocument/2006/relationships/hyperlink" Target="https://investors.aflac.com/press-releases/press-release-details/2024/Aflac-Incorporated-Announces-Third-Quarter-Results-Reports-Third-Quarter-Net-Losses-of-93-Million-Declares-Fourth-Quarter-Cash-Dividend/default.aspx" TargetMode="External" /><Relationship Id="rId19" Type="http://schemas.openxmlformats.org/officeDocument/2006/relationships/hyperlink" Target="https://s24.q4cdn.com/367535798/files/doc_financials/2020/q4/4QT-2020-Earnings-Release-Final.pdf"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0620E373-691C-4B22-B3CC-F1D9466D7CBA}">
  <sheetPr codeName="Sheet5">
    <pageSetUpPr fitToPage="1"/>
  </sheetPr>
  <dimension ref="A1:AH67"/>
  <sheetViews>
    <sheetView showGridLines="0" tabSelected="1" zoomScaleSheetLayoutView="100" zoomScalePageLayoutView="97" workbookViewId="0" topLeftCell="A1"/>
  </sheetViews>
  <sheetFormatPr defaultColWidth="8.714285714285714" defaultRowHeight="15"/>
  <cols>
    <col min="1" max="1" width="5.714285714285714" style="16" customWidth="1"/>
    <col min="2" max="2" width="7.714285714285714" style="16" customWidth="1"/>
    <col min="3" max="3" width="10.285714285714286" style="16" customWidth="1"/>
    <col min="4" max="4" width="13.714285714285714" style="16" customWidth="1"/>
    <col min="5" max="5" width="5.428571428571429" style="16" customWidth="1"/>
    <col min="6" max="6" width="13.714285714285714" style="16" customWidth="1"/>
    <col min="7" max="7" width="6.714285714285714" style="16" customWidth="1"/>
    <col min="8" max="8" width="31.714285714285715" style="16" customWidth="1"/>
    <col min="9" max="15" width="8.714285714285714" style="16" customWidth="1"/>
    <col min="16" max="16" width="45.714285714285715" style="16" customWidth="1"/>
    <col min="17" max="18" width="8.714285714285714" style="16" customWidth="1"/>
    <col min="19" max="16384" width="8.714285714285714" style="16"/>
  </cols>
  <sheetData>
    <row r="1" spans="1:24" ht="15">
      <c r="A1" s="681"/>
      <c r="B1" s="681"/>
      <c r="C1" s="681"/>
      <c r="D1" s="681"/>
      <c r="E1" s="681"/>
      <c r="F1" s="681"/>
      <c r="G1" s="681"/>
      <c r="H1" s="681"/>
      <c r="I1" s="681"/>
      <c r="J1" s="681"/>
      <c r="K1" s="681"/>
      <c r="L1" s="681"/>
      <c r="M1" s="681"/>
      <c r="N1" s="681"/>
      <c r="O1" s="681"/>
      <c r="P1" s="681"/>
      <c r="Q1" s="681"/>
      <c r="R1" s="681"/>
      <c r="S1" s="681"/>
      <c r="T1" s="681"/>
      <c r="U1" s="681"/>
      <c r="V1" s="681"/>
      <c r="W1" s="681"/>
      <c r="X1" s="681"/>
    </row>
    <row r="2" spans="1:24" ht="15">
      <c r="A2" s="681"/>
      <c r="B2" s="681"/>
      <c r="C2" s="681"/>
      <c r="D2" s="681"/>
      <c r="E2" s="681"/>
      <c r="F2" s="681"/>
      <c r="G2" s="681"/>
      <c r="H2" s="681"/>
      <c r="I2" s="681"/>
      <c r="J2" s="681"/>
      <c r="K2" s="681"/>
      <c r="L2" s="681"/>
      <c r="M2" s="681"/>
      <c r="N2" s="681"/>
      <c r="O2" s="681"/>
      <c r="P2" s="681"/>
      <c r="Q2" s="681"/>
      <c r="R2" s="681"/>
      <c r="S2" s="681"/>
      <c r="T2" s="681"/>
      <c r="U2" s="681"/>
      <c r="V2" s="681"/>
      <c r="W2" s="681"/>
      <c r="X2" s="681"/>
    </row>
    <row r="3" spans="1:24" ht="15">
      <c r="A3" s="681"/>
      <c r="B3" s="681"/>
      <c r="C3" s="681"/>
      <c r="D3" s="681"/>
      <c r="E3" s="681"/>
      <c r="F3" s="681"/>
      <c r="G3" s="681"/>
      <c r="H3" s="681"/>
      <c r="I3" s="681"/>
      <c r="J3" s="681"/>
      <c r="K3" s="681"/>
      <c r="L3" s="681"/>
      <c r="M3" s="681"/>
      <c r="N3" s="681"/>
      <c r="O3" s="681"/>
      <c r="P3" s="681"/>
      <c r="Q3" s="681"/>
      <c r="R3" s="681"/>
      <c r="S3" s="681"/>
      <c r="T3" s="681"/>
      <c r="U3" s="681"/>
      <c r="V3" s="681"/>
      <c r="W3" s="681"/>
      <c r="X3" s="681"/>
    </row>
    <row r="4" spans="1:24" ht="15">
      <c r="A4" s="681"/>
      <c r="B4" s="681"/>
      <c r="C4" s="681"/>
      <c r="D4" s="681"/>
      <c r="E4" s="681"/>
      <c r="F4" s="681"/>
      <c r="G4" s="681"/>
      <c r="H4" s="681"/>
      <c r="I4" s="681"/>
      <c r="J4" s="681"/>
      <c r="K4" s="681"/>
      <c r="L4" s="681"/>
      <c r="M4" s="681"/>
      <c r="N4" s="681"/>
      <c r="O4" s="681"/>
      <c r="P4" s="681"/>
      <c r="Q4" s="681"/>
      <c r="R4" s="681"/>
      <c r="S4" s="681"/>
      <c r="T4" s="681"/>
      <c r="U4" s="681"/>
      <c r="V4" s="681"/>
      <c r="W4" s="681"/>
      <c r="X4" s="681"/>
    </row>
    <row r="5" spans="1:24" ht="15">
      <c r="A5" s="681"/>
      <c r="B5" s="681"/>
      <c r="C5" s="681"/>
      <c r="D5" s="681"/>
      <c r="E5" s="681"/>
      <c r="F5" s="681"/>
      <c r="G5" s="681"/>
      <c r="H5" s="681"/>
      <c r="I5" s="681"/>
      <c r="J5" s="681"/>
      <c r="K5" s="681"/>
      <c r="L5" s="681"/>
      <c r="M5" s="681"/>
      <c r="N5" s="681"/>
      <c r="O5" s="681"/>
      <c r="P5" s="681"/>
      <c r="Q5" s="681"/>
      <c r="R5" s="681"/>
      <c r="S5" s="681"/>
      <c r="T5" s="681"/>
      <c r="U5" s="681"/>
      <c r="V5" s="681"/>
      <c r="W5" s="681"/>
      <c r="X5" s="681"/>
    </row>
    <row r="6" spans="1:24" ht="18.75">
      <c r="A6" s="681"/>
      <c r="B6" s="681"/>
      <c r="C6" s="681"/>
      <c r="D6" s="681"/>
      <c r="E6" s="681"/>
      <c r="F6" s="681"/>
      <c r="G6" s="681"/>
      <c r="H6" s="681"/>
      <c r="I6" s="681"/>
      <c r="J6" s="681"/>
      <c r="K6" s="681"/>
      <c r="L6" s="681"/>
      <c r="M6" s="682" t="s">
        <v>0</v>
      </c>
      <c r="N6" s="681"/>
      <c r="O6" s="681"/>
      <c r="P6" s="681"/>
      <c r="Q6" s="681"/>
      <c r="R6" s="681"/>
      <c r="S6" s="681"/>
      <c r="T6" s="681"/>
      <c r="U6" s="681"/>
      <c r="V6" s="681"/>
      <c r="W6" s="681"/>
      <c r="X6" s="681"/>
    </row>
    <row r="7" spans="1:24" ht="18.75">
      <c r="A7" s="681"/>
      <c r="B7" s="681"/>
      <c r="C7" s="681"/>
      <c r="D7" s="681"/>
      <c r="E7" s="681"/>
      <c r="F7" s="681"/>
      <c r="G7" s="681"/>
      <c r="H7" s="681"/>
      <c r="I7" s="681"/>
      <c r="J7" s="681"/>
      <c r="K7" s="681"/>
      <c r="L7" s="681"/>
      <c r="M7" s="876" t="s">
        <v>1</v>
      </c>
      <c r="N7" s="876"/>
      <c r="O7" s="876"/>
      <c r="P7" s="681"/>
      <c r="Q7" s="681"/>
      <c r="R7" s="681"/>
      <c r="S7" s="681"/>
      <c r="T7" s="681"/>
      <c r="U7" s="681"/>
      <c r="V7" s="681"/>
      <c r="W7" s="681"/>
      <c r="X7" s="681"/>
    </row>
    <row r="8" spans="1:24" ht="28.5">
      <c r="A8" s="681"/>
      <c r="B8" s="681"/>
      <c r="C8" s="681"/>
      <c r="D8" s="681"/>
      <c r="E8" s="681"/>
      <c r="F8" s="14"/>
      <c r="G8" s="14"/>
      <c r="H8" s="14"/>
      <c r="I8" s="14"/>
      <c r="J8" s="14"/>
      <c r="K8" s="14"/>
      <c r="L8" s="681"/>
      <c r="M8" s="681"/>
      <c r="N8" s="681"/>
      <c r="O8" s="681"/>
      <c r="P8" s="681"/>
      <c r="Q8" s="681"/>
      <c r="R8" s="681"/>
      <c r="S8" s="681"/>
      <c r="T8" s="681"/>
      <c r="U8" s="681"/>
      <c r="V8" s="681"/>
      <c r="W8" s="681"/>
      <c r="X8" s="681"/>
    </row>
    <row r="9" spans="1:24" ht="18.75">
      <c r="A9" s="681"/>
      <c r="B9" s="681"/>
      <c r="C9" s="683" t="s">
        <v>2</v>
      </c>
      <c r="D9" s="684"/>
      <c r="E9" s="684"/>
      <c r="F9" s="684"/>
      <c r="G9" s="684"/>
      <c r="H9" s="685" t="str">
        <f>Model!A1</f>
        <v>Aflac Incorporated</v>
      </c>
      <c r="I9" s="684"/>
      <c r="J9" s="684"/>
      <c r="K9" s="684"/>
      <c r="L9" s="684"/>
      <c r="M9" s="790" t="s">
        <v>516</v>
      </c>
      <c r="N9" s="684"/>
      <c r="O9" s="684"/>
      <c r="Q9" s="681"/>
      <c r="R9" s="681"/>
      <c r="S9" s="681"/>
      <c r="T9" s="681"/>
      <c r="U9" s="681"/>
      <c r="V9" s="681"/>
      <c r="W9" s="681"/>
      <c r="X9" s="681"/>
    </row>
    <row r="10" spans="1:24" ht="18.75">
      <c r="A10" s="681"/>
      <c r="B10" s="681"/>
      <c r="C10" s="686"/>
      <c r="D10" s="681"/>
      <c r="E10" s="681"/>
      <c r="F10" s="681"/>
      <c r="G10" s="681"/>
      <c r="H10" s="681"/>
      <c r="I10" s="681"/>
      <c r="J10" s="681"/>
      <c r="K10" s="681"/>
      <c r="L10" s="681"/>
      <c r="M10" s="791" t="s">
        <v>517</v>
      </c>
      <c r="N10" s="681"/>
      <c r="O10" s="681"/>
      <c r="Q10" s="681"/>
      <c r="R10" s="681"/>
      <c r="S10" s="681"/>
      <c r="T10" s="681"/>
      <c r="U10" s="681"/>
      <c r="V10" s="681"/>
      <c r="W10" s="681"/>
      <c r="X10" s="681"/>
    </row>
    <row r="11" spans="1:24" ht="18.75">
      <c r="A11" s="681"/>
      <c r="B11" s="681"/>
      <c r="C11" s="683" t="s">
        <v>4</v>
      </c>
      <c r="D11" s="681"/>
      <c r="E11" s="681"/>
      <c r="F11" s="681"/>
      <c r="G11" s="681"/>
      <c r="H11" s="719">
        <f ca="1">OFFSET('Update Log'!$C$10,1,0,1,1)</f>
        <v>45601</v>
      </c>
      <c r="I11" s="681"/>
      <c r="J11" s="681"/>
      <c r="K11" s="681"/>
      <c r="L11" s="681"/>
      <c r="M11" s="681"/>
      <c r="N11" s="681"/>
      <c r="O11" s="681"/>
      <c r="Q11" s="681"/>
      <c r="R11" s="681"/>
      <c r="S11" s="681"/>
      <c r="T11" s="681"/>
      <c r="U11" s="681"/>
      <c r="V11" s="681"/>
      <c r="W11" s="681"/>
      <c r="X11" s="681"/>
    </row>
    <row r="12" spans="1:24" ht="18.75">
      <c r="A12" s="681"/>
      <c r="B12" s="681"/>
      <c r="C12" s="681"/>
      <c r="D12" s="681"/>
      <c r="E12" s="681"/>
      <c r="F12" s="681"/>
      <c r="G12" s="681"/>
      <c r="H12" s="688"/>
      <c r="I12" s="681"/>
      <c r="J12" s="681"/>
      <c r="K12" s="681"/>
      <c r="L12" s="681"/>
      <c r="M12" s="683" t="s">
        <v>3</v>
      </c>
      <c r="N12" s="681"/>
      <c r="O12" s="681"/>
      <c r="Q12" s="681"/>
      <c r="R12" s="681"/>
      <c r="S12" s="681"/>
      <c r="T12" s="681"/>
      <c r="U12" s="681"/>
      <c r="V12" s="681"/>
      <c r="W12" s="681"/>
      <c r="X12" s="681"/>
    </row>
    <row r="13" spans="1:24" ht="18.75">
      <c r="A13" s="681"/>
      <c r="B13" s="681"/>
      <c r="C13" s="683" t="s">
        <v>5</v>
      </c>
      <c r="D13" s="681"/>
      <c r="E13" s="681"/>
      <c r="F13" s="681"/>
      <c r="G13" s="681"/>
      <c r="H13" s="720" t="str">
        <f ca="1">OFFSET('Update Log'!$E$10,1,0,1,1)</f>
        <v>Quarterly (Earnings Report)</v>
      </c>
      <c r="I13" s="681"/>
      <c r="J13" s="681"/>
      <c r="K13" s="681"/>
      <c r="L13" s="681"/>
      <c r="M13" s="4"/>
      <c r="N13" s="3"/>
      <c r="O13" s="3"/>
      <c r="P13" s="2"/>
      <c r="Q13" s="681"/>
      <c r="R13" s="681"/>
      <c r="S13" s="681"/>
      <c r="T13" s="681"/>
      <c r="U13" s="681"/>
      <c r="V13" s="681"/>
      <c r="W13" s="681"/>
      <c r="X13" s="681"/>
    </row>
    <row r="14" spans="1:24" ht="15">
      <c r="A14" s="681"/>
      <c r="B14" s="681"/>
      <c r="C14" s="681"/>
      <c r="D14" s="681"/>
      <c r="E14" s="681"/>
      <c r="F14" s="681"/>
      <c r="G14" s="681"/>
      <c r="H14" s="681"/>
      <c r="I14" s="681"/>
      <c r="J14" s="681"/>
      <c r="K14" s="681"/>
      <c r="L14" s="681"/>
      <c r="M14" s="4"/>
      <c r="N14" s="3"/>
      <c r="O14" s="3"/>
      <c r="P14" s="2"/>
      <c r="Q14" s="681"/>
      <c r="R14" s="681"/>
      <c r="S14" s="681"/>
      <c r="T14" s="681"/>
      <c r="U14" s="681"/>
      <c r="V14" s="681"/>
      <c r="W14" s="681"/>
      <c r="X14" s="681"/>
    </row>
    <row r="15" spans="1:24" ht="18.75" customHeight="1">
      <c r="A15" s="681"/>
      <c r="B15" s="681"/>
      <c r="C15" s="683" t="s">
        <v>6</v>
      </c>
      <c r="D15" s="684"/>
      <c r="E15" s="684"/>
      <c r="F15" s="684"/>
      <c r="G15" s="684"/>
      <c r="H15" s="721" t="s">
        <v>7</v>
      </c>
      <c r="I15" s="681"/>
      <c r="J15" s="689"/>
      <c r="K15" s="681"/>
      <c r="L15" s="681"/>
      <c r="M15" s="4"/>
      <c r="N15" s="3"/>
      <c r="O15" s="3"/>
      <c r="P15" s="2"/>
      <c r="Q15" s="681"/>
      <c r="R15" s="681"/>
      <c r="S15" s="681"/>
      <c r="T15" s="681"/>
      <c r="U15" s="681"/>
      <c r="V15" s="681"/>
      <c r="W15" s="681"/>
      <c r="X15" s="681"/>
    </row>
    <row r="16" spans="1:24" ht="15" customHeight="1">
      <c r="A16" s="681"/>
      <c r="B16" s="681"/>
      <c r="C16" s="684"/>
      <c r="D16" s="690"/>
      <c r="E16" s="690"/>
      <c r="F16" s="690"/>
      <c r="G16" s="690"/>
      <c r="H16" s="691">
        <f>IF(FP.DataSourceName="Bloomberg",1,IF(FP.DataSourceName="Capital IQ",2,IF(FP.DataSourceName="FactSet",3,IF(FP.DataSourceName="Refinitiv",4))))</f>
        <v>1</v>
      </c>
      <c r="I16" s="692"/>
      <c r="J16" s="689"/>
      <c r="K16" s="681"/>
      <c r="L16" s="681"/>
      <c r="M16" s="4"/>
      <c r="N16" s="3"/>
      <c r="O16" s="3"/>
      <c r="P16" s="2"/>
      <c r="Q16" s="681"/>
      <c r="R16" s="681"/>
      <c r="S16" s="681"/>
      <c r="T16" s="681"/>
      <c r="U16" s="681"/>
      <c r="V16" s="681"/>
      <c r="W16" s="681"/>
      <c r="X16" s="681"/>
    </row>
    <row r="17" spans="1:24" s="22" customFormat="1" ht="18.75">
      <c r="A17" s="690"/>
      <c r="B17" s="690"/>
      <c r="C17" s="686"/>
      <c r="D17" s="690"/>
      <c r="E17" s="690"/>
      <c r="F17" s="690"/>
      <c r="G17" s="690"/>
      <c r="H17" s="690"/>
      <c r="I17" s="692"/>
      <c r="J17" s="689"/>
      <c r="K17" s="681"/>
      <c r="L17" s="681"/>
      <c r="M17" s="4"/>
      <c r="N17" s="1"/>
      <c r="O17" s="1"/>
      <c r="P17" s="875"/>
      <c r="Q17" s="690"/>
      <c r="R17" s="690"/>
      <c r="S17" s="690"/>
      <c r="T17" s="690"/>
      <c r="U17" s="690"/>
      <c r="V17" s="690"/>
      <c r="W17" s="681"/>
      <c r="X17" s="690"/>
    </row>
    <row r="18" spans="1:24" s="22" customFormat="1" ht="18.75" customHeight="1">
      <c r="A18" s="690"/>
      <c r="B18" s="690"/>
      <c r="C18" s="683" t="s">
        <v>8</v>
      </c>
      <c r="D18" s="684"/>
      <c r="E18" s="684"/>
      <c r="F18" s="684"/>
      <c r="G18" s="684"/>
      <c r="H18" s="721" t="s">
        <v>287</v>
      </c>
      <c r="I18" s="693"/>
      <c r="J18" s="693"/>
      <c r="K18" s="681"/>
      <c r="L18" s="681"/>
      <c r="M18" s="4"/>
      <c r="N18" s="1"/>
      <c r="O18" s="1"/>
      <c r="P18" s="875"/>
      <c r="Q18" s="690"/>
      <c r="R18" s="690"/>
      <c r="S18" s="690"/>
      <c r="T18" s="690"/>
      <c r="U18" s="690"/>
      <c r="V18" s="690"/>
      <c r="W18" s="681"/>
      <c r="X18" s="690"/>
    </row>
    <row r="19" spans="1:24" s="22" customFormat="1" ht="15">
      <c r="A19" s="690"/>
      <c r="B19" s="690"/>
      <c r="C19" s="684"/>
      <c r="D19" s="690"/>
      <c r="E19" s="690"/>
      <c r="F19" s="690"/>
      <c r="G19" s="690"/>
      <c r="H19" s="690"/>
      <c r="I19" s="692"/>
      <c r="J19" s="689"/>
      <c r="K19" s="681"/>
      <c r="L19" s="681"/>
      <c r="M19" s="4"/>
      <c r="N19" s="1"/>
      <c r="O19" s="1"/>
      <c r="P19" s="875"/>
      <c r="Q19" s="690"/>
      <c r="R19" s="690"/>
      <c r="S19" s="690"/>
      <c r="T19" s="690"/>
      <c r="U19" s="690"/>
      <c r="V19" s="690"/>
      <c r="W19" s="681"/>
      <c r="X19" s="690"/>
    </row>
    <row r="20" spans="1:24" s="22" customFormat="1" ht="18.75" customHeight="1">
      <c r="A20" s="690"/>
      <c r="B20" s="690"/>
      <c r="C20" s="694" t="s">
        <v>9</v>
      </c>
      <c r="D20" s="690"/>
      <c r="E20" s="690"/>
      <c r="F20" s="695">
        <v>45600</v>
      </c>
      <c r="G20" s="690"/>
      <c r="H20" s="722">
        <v>104.51000000000001</v>
      </c>
      <c r="I20" s="692"/>
      <c r="J20" s="689"/>
      <c r="K20" s="681"/>
      <c r="L20" s="681"/>
      <c r="M20" s="4"/>
      <c r="N20" s="1"/>
      <c r="O20" s="1"/>
      <c r="P20" s="875"/>
      <c r="Q20" s="690"/>
      <c r="R20" s="690"/>
      <c r="S20" s="690"/>
      <c r="T20" s="690"/>
      <c r="U20" s="690"/>
      <c r="V20" s="690"/>
      <c r="W20" s="681"/>
      <c r="X20" s="690"/>
    </row>
    <row r="21" spans="1:24" s="22" customFormat="1" ht="15">
      <c r="A21" s="690"/>
      <c r="B21" s="690"/>
      <c r="C21" s="690"/>
      <c r="D21" s="681"/>
      <c r="E21" s="681"/>
      <c r="F21" s="681"/>
      <c r="G21" s="681"/>
      <c r="H21" s="681"/>
      <c r="I21" s="681"/>
      <c r="J21" s="681"/>
      <c r="K21" s="681"/>
      <c r="L21" s="681"/>
      <c r="M21" s="681"/>
      <c r="N21" s="690"/>
      <c r="O21" s="690"/>
      <c r="P21" s="690"/>
      <c r="Q21" s="690"/>
      <c r="R21" s="690"/>
      <c r="S21" s="690"/>
      <c r="T21" s="690"/>
      <c r="U21" s="690"/>
      <c r="V21" s="690"/>
      <c r="W21" s="690"/>
      <c r="X21" s="690"/>
    </row>
    <row r="22" spans="1:24" ht="16.15" customHeight="1">
      <c r="A22" s="681"/>
      <c r="B22" s="681"/>
      <c r="C22" s="13" t="s">
        <v>284</v>
      </c>
      <c r="D22" s="12"/>
      <c r="E22" s="12"/>
      <c r="F22" s="12"/>
      <c r="G22" s="12"/>
      <c r="H22" s="12"/>
      <c r="I22" s="12"/>
      <c r="J22" s="12"/>
      <c r="K22" s="12"/>
      <c r="L22" s="12"/>
      <c r="M22" s="12"/>
      <c r="N22" s="12"/>
      <c r="O22" s="12"/>
      <c r="P22" s="11"/>
      <c r="Q22" s="681"/>
      <c r="R22" s="681"/>
      <c r="S22" s="681"/>
      <c r="T22" s="681"/>
      <c r="U22" s="681"/>
      <c r="V22" s="681"/>
      <c r="W22" s="681"/>
      <c r="X22" s="681"/>
    </row>
    <row r="23" spans="1:24" ht="16.15" customHeight="1">
      <c r="A23" s="681"/>
      <c r="B23" s="681"/>
      <c r="C23" s="10"/>
      <c r="D23" s="9"/>
      <c r="E23" s="9"/>
      <c r="F23" s="9"/>
      <c r="G23" s="9"/>
      <c r="H23" s="9"/>
      <c r="I23" s="9"/>
      <c r="J23" s="9"/>
      <c r="K23" s="9"/>
      <c r="L23" s="9"/>
      <c r="M23" s="9"/>
      <c r="N23" s="9"/>
      <c r="O23" s="9"/>
      <c r="P23" s="8"/>
      <c r="Q23" s="681"/>
      <c r="R23" s="681"/>
      <c r="S23" s="681"/>
      <c r="T23" s="681"/>
      <c r="U23" s="681"/>
      <c r="V23" s="681"/>
      <c r="W23" s="681"/>
      <c r="X23" s="681"/>
    </row>
    <row r="24" spans="1:24" ht="16.15" customHeight="1">
      <c r="A24" s="681"/>
      <c r="B24" s="681"/>
      <c r="C24" s="10"/>
      <c r="D24" s="9"/>
      <c r="E24" s="9"/>
      <c r="F24" s="9"/>
      <c r="G24" s="9"/>
      <c r="H24" s="9"/>
      <c r="I24" s="9"/>
      <c r="J24" s="9"/>
      <c r="K24" s="9"/>
      <c r="L24" s="9"/>
      <c r="M24" s="9"/>
      <c r="N24" s="9"/>
      <c r="O24" s="9"/>
      <c r="P24" s="8"/>
      <c r="Q24" s="681"/>
      <c r="R24" s="681"/>
      <c r="S24" s="681"/>
      <c r="T24" s="681"/>
      <c r="U24" s="681"/>
      <c r="V24" s="681"/>
      <c r="W24" s="681"/>
      <c r="X24" s="681"/>
    </row>
    <row r="25" spans="1:24" ht="16.15" customHeight="1">
      <c r="A25" s="681"/>
      <c r="B25" s="681"/>
      <c r="C25" s="10"/>
      <c r="D25" s="9"/>
      <c r="E25" s="9"/>
      <c r="F25" s="9"/>
      <c r="G25" s="9"/>
      <c r="H25" s="9"/>
      <c r="I25" s="9"/>
      <c r="J25" s="9"/>
      <c r="K25" s="9"/>
      <c r="L25" s="9"/>
      <c r="M25" s="9"/>
      <c r="N25" s="9"/>
      <c r="O25" s="9"/>
      <c r="P25" s="8"/>
      <c r="Q25" s="681"/>
      <c r="R25" s="681"/>
      <c r="S25" s="681"/>
      <c r="T25" s="681"/>
      <c r="U25" s="681"/>
      <c r="V25" s="681"/>
      <c r="W25" s="681"/>
      <c r="X25" s="681"/>
    </row>
    <row r="26" spans="1:24" ht="16.15" customHeight="1">
      <c r="A26" s="681"/>
      <c r="B26" s="681"/>
      <c r="C26" s="10"/>
      <c r="D26" s="9"/>
      <c r="E26" s="9"/>
      <c r="F26" s="9"/>
      <c r="G26" s="9"/>
      <c r="H26" s="9"/>
      <c r="I26" s="9"/>
      <c r="J26" s="9"/>
      <c r="K26" s="9"/>
      <c r="L26" s="9"/>
      <c r="M26" s="9"/>
      <c r="N26" s="9"/>
      <c r="O26" s="9"/>
      <c r="P26" s="8"/>
      <c r="Q26" s="681"/>
      <c r="R26" s="681"/>
      <c r="S26" s="681"/>
      <c r="T26" s="681"/>
      <c r="U26" s="681"/>
      <c r="V26" s="681"/>
      <c r="W26" s="681"/>
      <c r="X26" s="681"/>
    </row>
    <row r="27" spans="1:24" ht="16.15" customHeight="1">
      <c r="A27" s="681"/>
      <c r="B27" s="681"/>
      <c r="C27" s="10"/>
      <c r="D27" s="9"/>
      <c r="E27" s="9"/>
      <c r="F27" s="9"/>
      <c r="G27" s="9"/>
      <c r="H27" s="9"/>
      <c r="I27" s="9"/>
      <c r="J27" s="9"/>
      <c r="K27" s="9"/>
      <c r="L27" s="9"/>
      <c r="M27" s="9"/>
      <c r="N27" s="9"/>
      <c r="O27" s="9"/>
      <c r="P27" s="8"/>
      <c r="Q27" s="681"/>
      <c r="R27" s="681"/>
      <c r="S27" s="681"/>
      <c r="T27" s="681"/>
      <c r="U27" s="681"/>
      <c r="V27" s="681"/>
      <c r="W27" s="681"/>
      <c r="X27" s="681"/>
    </row>
    <row r="28" spans="1:24" ht="16.15" customHeight="1">
      <c r="A28" s="681"/>
      <c r="B28" s="681"/>
      <c r="C28" s="10"/>
      <c r="D28" s="9"/>
      <c r="E28" s="9"/>
      <c r="F28" s="9"/>
      <c r="G28" s="9"/>
      <c r="H28" s="9"/>
      <c r="I28" s="9"/>
      <c r="J28" s="9"/>
      <c r="K28" s="9"/>
      <c r="L28" s="9"/>
      <c r="M28" s="9"/>
      <c r="N28" s="9"/>
      <c r="O28" s="9"/>
      <c r="P28" s="8"/>
      <c r="Q28" s="681"/>
      <c r="R28" s="681"/>
      <c r="S28" s="681"/>
      <c r="T28" s="681"/>
      <c r="U28" s="681"/>
      <c r="V28" s="681"/>
      <c r="W28" s="681"/>
      <c r="X28" s="681"/>
    </row>
    <row r="29" spans="1:24" ht="16.15" customHeight="1">
      <c r="A29" s="681"/>
      <c r="B29" s="681"/>
      <c r="C29" s="10"/>
      <c r="D29" s="9"/>
      <c r="E29" s="9"/>
      <c r="F29" s="9"/>
      <c r="G29" s="9"/>
      <c r="H29" s="9"/>
      <c r="I29" s="9"/>
      <c r="J29" s="9"/>
      <c r="K29" s="9"/>
      <c r="L29" s="9"/>
      <c r="M29" s="9"/>
      <c r="N29" s="9"/>
      <c r="O29" s="9"/>
      <c r="P29" s="8"/>
      <c r="Q29" s="681"/>
      <c r="R29" s="681"/>
      <c r="S29" s="681"/>
      <c r="T29" s="681"/>
      <c r="U29" s="681"/>
      <c r="V29" s="681"/>
      <c r="W29" s="681"/>
      <c r="X29" s="681"/>
    </row>
    <row r="30" spans="1:24" ht="16.15" customHeight="1">
      <c r="A30" s="681"/>
      <c r="B30" s="681"/>
      <c r="C30" s="10"/>
      <c r="D30" s="9"/>
      <c r="E30" s="9"/>
      <c r="F30" s="9"/>
      <c r="G30" s="9"/>
      <c r="H30" s="9"/>
      <c r="I30" s="9"/>
      <c r="J30" s="9"/>
      <c r="K30" s="9"/>
      <c r="L30" s="9"/>
      <c r="M30" s="9"/>
      <c r="N30" s="9"/>
      <c r="O30" s="9"/>
      <c r="P30" s="8"/>
      <c r="Q30" s="681"/>
      <c r="R30" s="681"/>
      <c r="S30" s="681"/>
      <c r="T30" s="681"/>
      <c r="U30" s="681"/>
      <c r="V30" s="681"/>
      <c r="W30" s="681"/>
      <c r="X30" s="681"/>
    </row>
    <row r="31" spans="1:24" ht="16.15" customHeight="1">
      <c r="A31" s="681"/>
      <c r="B31" s="681"/>
      <c r="C31" s="10"/>
      <c r="D31" s="9"/>
      <c r="E31" s="9"/>
      <c r="F31" s="9"/>
      <c r="G31" s="9"/>
      <c r="H31" s="9"/>
      <c r="I31" s="9"/>
      <c r="J31" s="9"/>
      <c r="K31" s="9"/>
      <c r="L31" s="9"/>
      <c r="M31" s="9"/>
      <c r="N31" s="9"/>
      <c r="O31" s="9"/>
      <c r="P31" s="8"/>
      <c r="Q31" s="681"/>
      <c r="R31" s="681"/>
      <c r="S31" s="681"/>
      <c r="T31" s="681"/>
      <c r="U31" s="681"/>
      <c r="V31" s="681"/>
      <c r="W31" s="681"/>
      <c r="X31" s="681"/>
    </row>
    <row r="32" spans="1:24" ht="16.15" customHeight="1">
      <c r="A32" s="681"/>
      <c r="B32" s="681"/>
      <c r="C32" s="10"/>
      <c r="D32" s="9"/>
      <c r="E32" s="9"/>
      <c r="F32" s="9"/>
      <c r="G32" s="9"/>
      <c r="H32" s="9"/>
      <c r="I32" s="9"/>
      <c r="J32" s="9"/>
      <c r="K32" s="9"/>
      <c r="L32" s="9"/>
      <c r="M32" s="9"/>
      <c r="N32" s="9"/>
      <c r="O32" s="9"/>
      <c r="P32" s="8"/>
      <c r="Q32" s="681"/>
      <c r="R32" s="681"/>
      <c r="S32" s="681"/>
      <c r="T32" s="681"/>
      <c r="U32" s="681"/>
      <c r="V32" s="681"/>
      <c r="W32" s="681"/>
      <c r="X32" s="681"/>
    </row>
    <row r="33" spans="1:24" ht="16.15" customHeight="1">
      <c r="A33" s="681"/>
      <c r="B33" s="681"/>
      <c r="C33" s="10"/>
      <c r="D33" s="9"/>
      <c r="E33" s="9"/>
      <c r="F33" s="9"/>
      <c r="G33" s="9"/>
      <c r="H33" s="9"/>
      <c r="I33" s="9"/>
      <c r="J33" s="9"/>
      <c r="K33" s="9"/>
      <c r="L33" s="9"/>
      <c r="M33" s="9"/>
      <c r="N33" s="9"/>
      <c r="O33" s="9"/>
      <c r="P33" s="8"/>
      <c r="Q33" s="681"/>
      <c r="R33" s="681"/>
      <c r="S33" s="681"/>
      <c r="T33" s="681"/>
      <c r="U33" s="681"/>
      <c r="V33" s="681"/>
      <c r="W33" s="681"/>
      <c r="X33" s="681"/>
    </row>
    <row r="34" spans="1:24" ht="16.15" customHeight="1">
      <c r="A34" s="681"/>
      <c r="B34" s="681"/>
      <c r="C34" s="10"/>
      <c r="D34" s="9"/>
      <c r="E34" s="9"/>
      <c r="F34" s="9"/>
      <c r="G34" s="9"/>
      <c r="H34" s="9"/>
      <c r="I34" s="9"/>
      <c r="J34" s="9"/>
      <c r="K34" s="9"/>
      <c r="L34" s="9"/>
      <c r="M34" s="9"/>
      <c r="N34" s="9"/>
      <c r="O34" s="9"/>
      <c r="P34" s="8"/>
      <c r="Q34" s="681"/>
      <c r="R34" s="681"/>
      <c r="S34" s="681"/>
      <c r="T34" s="681"/>
      <c r="U34" s="681"/>
      <c r="V34" s="681"/>
      <c r="W34" s="681"/>
      <c r="X34" s="681"/>
    </row>
    <row r="35" spans="1:24" ht="16.15" customHeight="1">
      <c r="A35" s="681"/>
      <c r="B35" s="681"/>
      <c r="C35" s="10"/>
      <c r="D35" s="9"/>
      <c r="E35" s="9"/>
      <c r="F35" s="9"/>
      <c r="G35" s="9"/>
      <c r="H35" s="9"/>
      <c r="I35" s="9"/>
      <c r="J35" s="9"/>
      <c r="K35" s="9"/>
      <c r="L35" s="9"/>
      <c r="M35" s="9"/>
      <c r="N35" s="9"/>
      <c r="O35" s="9"/>
      <c r="P35" s="8"/>
      <c r="Q35" s="681"/>
      <c r="R35" s="681"/>
      <c r="S35" s="681"/>
      <c r="T35" s="681"/>
      <c r="U35" s="681"/>
      <c r="V35" s="681"/>
      <c r="W35" s="681"/>
      <c r="X35" s="681"/>
    </row>
    <row r="36" spans="1:24" ht="16.15" customHeight="1">
      <c r="A36" s="681"/>
      <c r="B36" s="681"/>
      <c r="C36" s="10"/>
      <c r="D36" s="9"/>
      <c r="E36" s="9"/>
      <c r="F36" s="9"/>
      <c r="G36" s="9"/>
      <c r="H36" s="9"/>
      <c r="I36" s="9"/>
      <c r="J36" s="9"/>
      <c r="K36" s="9"/>
      <c r="L36" s="9"/>
      <c r="M36" s="9"/>
      <c r="N36" s="9"/>
      <c r="O36" s="9"/>
      <c r="P36" s="8"/>
      <c r="Q36" s="681"/>
      <c r="R36" s="681"/>
      <c r="S36" s="681"/>
      <c r="T36" s="681"/>
      <c r="U36" s="681"/>
      <c r="V36" s="681"/>
      <c r="W36" s="681"/>
      <c r="X36" s="681"/>
    </row>
    <row r="37" spans="1:24" ht="16.15" customHeight="1">
      <c r="A37" s="681"/>
      <c r="B37" s="681"/>
      <c r="C37" s="10"/>
      <c r="D37" s="9"/>
      <c r="E37" s="9"/>
      <c r="F37" s="9"/>
      <c r="G37" s="9"/>
      <c r="H37" s="9"/>
      <c r="I37" s="9"/>
      <c r="J37" s="9"/>
      <c r="K37" s="9"/>
      <c r="L37" s="9"/>
      <c r="M37" s="9"/>
      <c r="N37" s="9"/>
      <c r="O37" s="9"/>
      <c r="P37" s="8"/>
      <c r="Q37" s="681"/>
      <c r="R37" s="681"/>
      <c r="S37" s="681"/>
      <c r="T37" s="681"/>
      <c r="U37" s="681"/>
      <c r="V37" s="681"/>
      <c r="W37" s="681"/>
      <c r="X37" s="681"/>
    </row>
    <row r="38" spans="1:24" ht="16.15" customHeight="1">
      <c r="A38" s="681"/>
      <c r="B38" s="681"/>
      <c r="C38" s="10"/>
      <c r="D38" s="9"/>
      <c r="E38" s="9"/>
      <c r="F38" s="9"/>
      <c r="G38" s="9"/>
      <c r="H38" s="9"/>
      <c r="I38" s="9"/>
      <c r="J38" s="9"/>
      <c r="K38" s="9"/>
      <c r="L38" s="9"/>
      <c r="M38" s="9"/>
      <c r="N38" s="9"/>
      <c r="O38" s="9"/>
      <c r="P38" s="8"/>
      <c r="Q38" s="681"/>
      <c r="R38" s="681"/>
      <c r="S38" s="681"/>
      <c r="T38" s="681"/>
      <c r="U38" s="681"/>
      <c r="V38" s="681"/>
      <c r="W38" s="681"/>
      <c r="X38" s="681"/>
    </row>
    <row r="39" spans="1:24" ht="16.15" customHeight="1">
      <c r="A39" s="681"/>
      <c r="B39" s="681"/>
      <c r="C39" s="10"/>
      <c r="D39" s="9"/>
      <c r="E39" s="9"/>
      <c r="F39" s="9"/>
      <c r="G39" s="9"/>
      <c r="H39" s="9"/>
      <c r="I39" s="9"/>
      <c r="J39" s="9"/>
      <c r="K39" s="9"/>
      <c r="L39" s="9"/>
      <c r="M39" s="9"/>
      <c r="N39" s="9"/>
      <c r="O39" s="9"/>
      <c r="P39" s="8"/>
      <c r="Q39" s="681"/>
      <c r="R39" s="681"/>
      <c r="S39" s="681"/>
      <c r="T39" s="681"/>
      <c r="U39" s="681"/>
      <c r="V39" s="681"/>
      <c r="W39" s="681"/>
      <c r="X39" s="681"/>
    </row>
    <row r="40" spans="1:24" ht="16.15" customHeight="1">
      <c r="A40" s="681"/>
      <c r="B40" s="681"/>
      <c r="C40" s="10"/>
      <c r="D40" s="9"/>
      <c r="E40" s="9"/>
      <c r="F40" s="9"/>
      <c r="G40" s="9"/>
      <c r="H40" s="9"/>
      <c r="I40" s="9"/>
      <c r="J40" s="9"/>
      <c r="K40" s="9"/>
      <c r="L40" s="9"/>
      <c r="M40" s="9"/>
      <c r="N40" s="9"/>
      <c r="O40" s="9"/>
      <c r="P40" s="8"/>
      <c r="Q40" s="681"/>
      <c r="R40" s="681"/>
      <c r="S40" s="681"/>
      <c r="T40" s="681"/>
      <c r="U40" s="681"/>
      <c r="V40" s="681"/>
      <c r="W40" s="681"/>
      <c r="X40" s="681"/>
    </row>
    <row r="41" spans="1:24" ht="16.15" customHeight="1">
      <c r="A41" s="681"/>
      <c r="B41" s="681"/>
      <c r="C41" s="7"/>
      <c r="D41" s="6"/>
      <c r="E41" s="6"/>
      <c r="F41" s="6"/>
      <c r="G41" s="6"/>
      <c r="H41" s="6"/>
      <c r="I41" s="6"/>
      <c r="J41" s="6"/>
      <c r="K41" s="6"/>
      <c r="L41" s="6"/>
      <c r="M41" s="6"/>
      <c r="N41" s="6"/>
      <c r="O41" s="6"/>
      <c r="P41" s="5"/>
      <c r="Q41" s="681"/>
      <c r="R41" s="681"/>
      <c r="S41" s="681"/>
      <c r="T41" s="681"/>
      <c r="U41" s="681"/>
      <c r="V41" s="681"/>
      <c r="W41" s="681"/>
      <c r="X41" s="681"/>
    </row>
    <row r="42" spans="1:24" ht="15">
      <c r="A42" s="681"/>
      <c r="B42" s="681"/>
      <c r="C42" s="681"/>
      <c r="D42" s="681"/>
      <c r="E42" s="681"/>
      <c r="F42" s="681"/>
      <c r="G42" s="681"/>
      <c r="H42" s="681"/>
      <c r="I42" s="681"/>
      <c r="J42" s="681"/>
      <c r="K42" s="681"/>
      <c r="L42" s="681"/>
      <c r="M42" s="681"/>
      <c r="N42" s="681"/>
      <c r="O42" s="681"/>
      <c r="P42" s="681"/>
      <c r="Q42" s="681"/>
      <c r="R42" s="681"/>
      <c r="S42" s="681"/>
      <c r="T42" s="681"/>
      <c r="U42" s="681"/>
      <c r="V42" s="681"/>
      <c r="W42" s="681"/>
      <c r="X42" s="681"/>
    </row>
    <row r="43" spans="1:24" ht="15">
      <c r="A43" s="681"/>
      <c r="B43" s="681"/>
      <c r="C43" s="681"/>
      <c r="D43" s="681"/>
      <c r="E43" s="681"/>
      <c r="F43" s="681"/>
      <c r="G43" s="681"/>
      <c r="H43" s="681"/>
      <c r="I43" s="681"/>
      <c r="J43" s="681"/>
      <c r="K43" s="681"/>
      <c r="L43" s="681"/>
      <c r="M43" s="681"/>
      <c r="N43" s="681"/>
      <c r="O43" s="681"/>
      <c r="P43" s="681"/>
      <c r="Q43" s="681"/>
      <c r="R43" s="681"/>
      <c r="S43" s="681"/>
      <c r="T43" s="681"/>
      <c r="U43" s="681"/>
      <c r="V43" s="681"/>
      <c r="W43" s="681"/>
      <c r="X43" s="681"/>
    </row>
    <row r="44" spans="1:24" ht="15">
      <c r="A44" s="681"/>
      <c r="B44" s="681"/>
      <c r="C44" s="681"/>
      <c r="D44" s="681"/>
      <c r="E44" s="681"/>
      <c r="F44" s="681"/>
      <c r="G44" s="681"/>
      <c r="H44" s="681"/>
      <c r="I44" s="681"/>
      <c r="J44" s="681"/>
      <c r="K44" s="681"/>
      <c r="L44" s="681"/>
      <c r="M44" s="681"/>
      <c r="N44" s="681"/>
      <c r="O44" s="681"/>
      <c r="P44" s="681"/>
      <c r="Q44" s="681"/>
      <c r="R44" s="681"/>
      <c r="S44" s="681"/>
      <c r="T44" s="681"/>
      <c r="U44" s="681"/>
      <c r="V44" s="681"/>
      <c r="W44" s="681"/>
      <c r="X44" s="681"/>
    </row>
    <row r="45" spans="1:24" ht="15">
      <c r="A45" s="681"/>
      <c r="B45" s="681"/>
      <c r="C45" s="681"/>
      <c r="D45" s="681"/>
      <c r="E45" s="681"/>
      <c r="F45" s="681"/>
      <c r="G45" s="681"/>
      <c r="H45" s="681"/>
      <c r="I45" s="681"/>
      <c r="J45" s="681"/>
      <c r="K45" s="681"/>
      <c r="L45" s="681"/>
      <c r="M45" s="681"/>
      <c r="N45" s="681"/>
      <c r="O45" s="681"/>
      <c r="P45" s="681"/>
      <c r="Q45" s="681"/>
      <c r="R45" s="681"/>
      <c r="S45" s="681"/>
      <c r="T45" s="681"/>
      <c r="U45" s="681"/>
      <c r="V45" s="681"/>
      <c r="W45" s="681"/>
      <c r="X45" s="681"/>
    </row>
    <row r="46" spans="1:24" ht="15">
      <c r="A46" s="681"/>
      <c r="B46" s="681"/>
      <c r="C46" s="681"/>
      <c r="D46" s="681"/>
      <c r="E46" s="681"/>
      <c r="F46" s="681"/>
      <c r="G46" s="681"/>
      <c r="H46" s="681"/>
      <c r="I46" s="681"/>
      <c r="J46" s="681"/>
      <c r="K46" s="681"/>
      <c r="L46" s="681"/>
      <c r="M46" s="681"/>
      <c r="N46" s="681"/>
      <c r="O46" s="681"/>
      <c r="P46" s="681"/>
      <c r="Q46" s="681"/>
      <c r="R46" s="681"/>
      <c r="S46" s="681"/>
      <c r="T46" s="681"/>
      <c r="U46" s="681"/>
      <c r="V46" s="681"/>
      <c r="W46" s="681"/>
      <c r="X46" s="681"/>
    </row>
    <row r="47" spans="1:24" ht="15">
      <c r="A47" s="681"/>
      <c r="B47" s="681"/>
      <c r="C47" s="681"/>
      <c r="D47" s="681"/>
      <c r="E47" s="681"/>
      <c r="F47" s="681"/>
      <c r="G47" s="681"/>
      <c r="H47" s="681"/>
      <c r="I47" s="681"/>
      <c r="J47" s="681"/>
      <c r="K47" s="681"/>
      <c r="L47" s="681"/>
      <c r="M47" s="681"/>
      <c r="N47" s="681"/>
      <c r="O47" s="681"/>
      <c r="P47" s="681"/>
      <c r="Q47" s="681"/>
      <c r="R47" s="681"/>
      <c r="S47" s="681"/>
      <c r="T47" s="681"/>
      <c r="U47" s="681"/>
      <c r="V47" s="681"/>
      <c r="W47" s="681"/>
      <c r="X47" s="681"/>
    </row>
    <row r="48" spans="1:24" ht="15">
      <c r="A48" s="681"/>
      <c r="B48" s="681"/>
      <c r="C48" s="681"/>
      <c r="D48" s="681"/>
      <c r="E48" s="681"/>
      <c r="F48" s="681"/>
      <c r="G48" s="681"/>
      <c r="H48" s="681"/>
      <c r="I48" s="681"/>
      <c r="J48" s="681"/>
      <c r="K48" s="681"/>
      <c r="L48" s="681"/>
      <c r="M48" s="681"/>
      <c r="N48" s="681"/>
      <c r="O48" s="681"/>
      <c r="P48" s="681"/>
      <c r="Q48" s="681"/>
      <c r="R48" s="681"/>
      <c r="S48" s="681"/>
      <c r="T48" s="681"/>
      <c r="U48" s="681"/>
      <c r="V48" s="681"/>
      <c r="W48" s="681"/>
      <c r="X48" s="681"/>
    </row>
    <row r="49" spans="1:24" ht="15">
      <c r="A49" s="681"/>
      <c r="B49" s="681"/>
      <c r="C49" s="681"/>
      <c r="D49" s="681"/>
      <c r="E49" s="681"/>
      <c r="F49" s="681"/>
      <c r="G49" s="681"/>
      <c r="H49" s="681"/>
      <c r="I49" s="681"/>
      <c r="J49" s="681"/>
      <c r="K49" s="681"/>
      <c r="L49" s="681"/>
      <c r="M49" s="681"/>
      <c r="N49" s="681"/>
      <c r="O49" s="681"/>
      <c r="P49" s="681"/>
      <c r="Q49" s="681"/>
      <c r="R49" s="681"/>
      <c r="S49" s="681"/>
      <c r="T49" s="681"/>
      <c r="U49" s="681"/>
      <c r="V49" s="681"/>
      <c r="W49" s="681"/>
      <c r="X49" s="681"/>
    </row>
    <row r="50" spans="1:24" ht="15">
      <c r="A50" s="681"/>
      <c r="B50" s="681"/>
      <c r="C50" s="681"/>
      <c r="D50" s="681"/>
      <c r="E50" s="681"/>
      <c r="F50" s="681"/>
      <c r="G50" s="681"/>
      <c r="H50" s="681"/>
      <c r="I50" s="681"/>
      <c r="J50" s="681"/>
      <c r="K50" s="681"/>
      <c r="L50" s="681"/>
      <c r="M50" s="681"/>
      <c r="N50" s="681"/>
      <c r="O50" s="681"/>
      <c r="P50" s="681"/>
      <c r="Q50" s="681"/>
      <c r="R50" s="681"/>
      <c r="S50" s="681"/>
      <c r="T50" s="681"/>
      <c r="U50" s="681"/>
      <c r="V50" s="681"/>
      <c r="W50" s="681"/>
      <c r="X50" s="681"/>
    </row>
    <row r="51" spans="1:24" ht="15">
      <c r="A51" s="681"/>
      <c r="B51" s="681"/>
      <c r="C51" s="681"/>
      <c r="D51" s="681"/>
      <c r="E51" s="681"/>
      <c r="F51" s="681"/>
      <c r="G51" s="681"/>
      <c r="H51" s="681"/>
      <c r="I51" s="681"/>
      <c r="J51" s="681"/>
      <c r="K51" s="681"/>
      <c r="L51" s="681"/>
      <c r="M51" s="681"/>
      <c r="N51" s="681"/>
      <c r="O51" s="681"/>
      <c r="P51" s="681"/>
      <c r="Q51" s="681"/>
      <c r="R51" s="681"/>
      <c r="S51" s="681"/>
      <c r="T51" s="681"/>
      <c r="U51" s="681"/>
      <c r="V51" s="681"/>
      <c r="W51" s="681"/>
      <c r="X51" s="681"/>
    </row>
    <row r="52" spans="1:24" ht="15">
      <c r="A52" s="681"/>
      <c r="B52" s="681"/>
      <c r="C52" s="681"/>
      <c r="D52" s="681"/>
      <c r="E52" s="681"/>
      <c r="F52" s="681"/>
      <c r="G52" s="681"/>
      <c r="H52" s="681"/>
      <c r="I52" s="681"/>
      <c r="J52" s="681"/>
      <c r="K52" s="681"/>
      <c r="L52" s="681"/>
      <c r="M52" s="681"/>
      <c r="N52" s="681"/>
      <c r="O52" s="681"/>
      <c r="P52" s="681"/>
      <c r="Q52" s="681"/>
      <c r="R52" s="681"/>
      <c r="S52" s="681"/>
      <c r="T52" s="681"/>
      <c r="U52" s="681"/>
      <c r="V52" s="681"/>
      <c r="W52" s="681"/>
      <c r="X52" s="681"/>
    </row>
    <row r="53" spans="1:24" ht="15">
      <c r="A53" s="681"/>
      <c r="B53" s="681"/>
      <c r="C53" s="681"/>
      <c r="D53" s="681"/>
      <c r="E53" s="681"/>
      <c r="F53" s="681"/>
      <c r="G53" s="681"/>
      <c r="H53" s="681"/>
      <c r="I53" s="681"/>
      <c r="J53" s="681"/>
      <c r="K53" s="681"/>
      <c r="L53" s="681"/>
      <c r="M53" s="681"/>
      <c r="N53" s="681"/>
      <c r="O53" s="681"/>
      <c r="P53" s="681"/>
      <c r="Q53" s="681"/>
      <c r="R53" s="681"/>
      <c r="S53" s="681"/>
      <c r="T53" s="681"/>
      <c r="U53" s="681"/>
      <c r="V53" s="681"/>
      <c r="W53" s="681"/>
      <c r="X53" s="681"/>
    </row>
    <row r="54" spans="1:24" ht="15">
      <c r="A54" s="681"/>
      <c r="B54" s="681"/>
      <c r="C54" s="681"/>
      <c r="D54" s="681"/>
      <c r="E54" s="681"/>
      <c r="F54" s="681"/>
      <c r="G54" s="681"/>
      <c r="H54" s="681"/>
      <c r="I54" s="681"/>
      <c r="J54" s="681"/>
      <c r="K54" s="681"/>
      <c r="L54" s="681"/>
      <c r="M54" s="681"/>
      <c r="N54" s="681"/>
      <c r="O54" s="681"/>
      <c r="P54" s="681"/>
      <c r="Q54" s="681"/>
      <c r="R54" s="681"/>
      <c r="S54" s="681"/>
      <c r="T54" s="681"/>
      <c r="U54" s="681"/>
      <c r="V54" s="681"/>
      <c r="W54" s="681"/>
      <c r="X54" s="681"/>
    </row>
    <row r="55" spans="1:24" ht="15">
      <c r="A55" s="681"/>
      <c r="B55" s="681"/>
      <c r="C55" s="681"/>
      <c r="D55" s="681"/>
      <c r="E55" s="681"/>
      <c r="F55" s="681"/>
      <c r="G55" s="681"/>
      <c r="H55" s="681"/>
      <c r="I55" s="681"/>
      <c r="J55" s="681"/>
      <c r="K55" s="681"/>
      <c r="L55" s="681"/>
      <c r="M55" s="681"/>
      <c r="N55" s="681"/>
      <c r="O55" s="681"/>
      <c r="P55" s="681"/>
      <c r="Q55" s="681"/>
      <c r="R55" s="681"/>
      <c r="S55" s="681"/>
      <c r="T55" s="681"/>
      <c r="U55" s="681"/>
      <c r="V55" s="681"/>
      <c r="W55" s="681"/>
      <c r="X55" s="681"/>
    </row>
    <row r="56" spans="1:24" ht="15">
      <c r="A56" s="681"/>
      <c r="B56" s="681"/>
      <c r="C56" s="681"/>
      <c r="D56" s="681"/>
      <c r="E56" s="681"/>
      <c r="F56" s="681"/>
      <c r="G56" s="681"/>
      <c r="H56" s="681"/>
      <c r="I56" s="681"/>
      <c r="J56" s="681"/>
      <c r="K56" s="681"/>
      <c r="L56" s="681"/>
      <c r="M56" s="681"/>
      <c r="N56" s="681"/>
      <c r="O56" s="681"/>
      <c r="P56" s="681"/>
      <c r="Q56" s="681"/>
      <c r="R56" s="681"/>
      <c r="S56" s="681"/>
      <c r="T56" s="681"/>
      <c r="U56" s="681"/>
      <c r="V56" s="681"/>
      <c r="W56" s="681"/>
      <c r="X56" s="681"/>
    </row>
    <row r="57" spans="1:24" ht="15">
      <c r="A57" s="681"/>
      <c r="B57" s="681"/>
      <c r="C57" s="681"/>
      <c r="D57" s="681"/>
      <c r="E57" s="681"/>
      <c r="F57" s="681"/>
      <c r="G57" s="681"/>
      <c r="H57" s="681"/>
      <c r="I57" s="681"/>
      <c r="J57" s="681"/>
      <c r="K57" s="681"/>
      <c r="L57" s="681"/>
      <c r="M57" s="681"/>
      <c r="N57" s="681"/>
      <c r="O57" s="681"/>
      <c r="P57" s="681"/>
      <c r="Q57" s="681"/>
      <c r="R57" s="681"/>
      <c r="S57" s="681"/>
      <c r="T57" s="681"/>
      <c r="U57" s="681"/>
      <c r="V57" s="681"/>
      <c r="W57" s="681"/>
      <c r="X57" s="681"/>
    </row>
    <row r="67" spans="34:34" ht="15">
      <c r="AH67" s="725"/>
    </row>
  </sheetData>
  <mergeCells count="4">
    <mergeCell ref="F8:K8"/>
    <mergeCell ref="C22:P41"/>
    <mergeCell ref="M13:P20"/>
    <mergeCell ref="M7:O7"/>
  </mergeCells>
  <conditionalFormatting sqref="C20:H20">
    <cfRule type="expression" priority="18" dxfId="10">
      <formula>AND(FP.RealTimeToggle="ON",MO.RealTime="ON")</formula>
    </cfRule>
  </conditionalFormatting>
  <dataValidations count="3">
    <dataValidation type="list" allowBlank="1" showInputMessage="1" showErrorMessage="1" sqref="H18">
      <formula1>"ON, OFF"</formula1>
    </dataValidation>
    <dataValidation allowBlank="1" showInputMessage="1" showErrorMessage="1" sqref="H16"/>
    <dataValidation type="list" allowBlank="1" showInputMessage="1" showErrorMessage="1" sqref="H15">
      <formula1>"Bloomberg, Capital IQ, FactSet, Refinitiv"</formula1>
    </dataValidation>
  </dataValidations>
  <hyperlinks>
    <hyperlink ref="M7" r:id="rId1" tooltip="Click to directly email Canalyst support" display="support@tegus.com"/>
    <hyperlink ref="M7:O7" r:id="rId2" tooltip="Click to directly email Canalyst support" display="support@tegus.com"/>
    <hyperlink ref="M10" r:id="rId3" display="Tegus Excel Add-in"/>
  </hyperlinks>
  <pageMargins left="0.7" right="0.7" top="0.75" bottom="0.75" header="0.3" footer="0.3"/>
  <pageSetup orientation="portrait" paperSize="1" scale="45"/>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A70BDDF1-0C6B-4DF9-AD66-95C7200EE1A5}">
  <sheetPr codeName="Sheet2">
    <pageSetUpPr fitToPage="1"/>
  </sheetPr>
  <dimension ref="A1:BS601"/>
  <sheetViews>
    <sheetView showGridLines="0" zoomScale="85" zoomScaleNormal="85" workbookViewId="0" topLeftCell="A1">
      <pane xSplit="2" ySplit="5" topLeftCell="AZ6" activePane="bottomRight" state="frozen"/>
      <selection pane="topLeft" activeCell="A1" sqref="A1"/>
      <selection pane="bottomLeft" activeCell="A6" sqref="A6"/>
      <selection pane="topRight" activeCell="C1" sqref="C1"/>
      <selection pane="bottomRight" activeCell="A1" sqref="A1"/>
    </sheetView>
  </sheetViews>
  <sheetFormatPr defaultColWidth="10.714285714285714" defaultRowHeight="15" outlineLevelRow="2" outlineLevelCol="1"/>
  <cols>
    <col min="1" max="1" width="50.714285714285715" style="56" customWidth="1"/>
    <col min="2" max="7" width="10.714285714285714" style="56" customWidth="1"/>
    <col min="8" max="11" width="10.714285714285714" style="56" hidden="1" customWidth="1" outlineLevel="1"/>
    <col min="12" max="12" width="10.714285714285714" style="56" customWidth="1" collapsed="1"/>
    <col min="13" max="16" width="10.714285714285714" style="56" hidden="1" customWidth="1" outlineLevel="1"/>
    <col min="17" max="17" width="10.714285714285714" style="56" customWidth="1" collapsed="1"/>
    <col min="18" max="21" width="10.714285714285714" style="56" hidden="1" customWidth="1" outlineLevel="1"/>
    <col min="22" max="22" width="10.714285714285714" style="56" customWidth="1" collapsed="1"/>
    <col min="23" max="26" width="10.714285714285714" style="56" hidden="1" customWidth="1" outlineLevel="1"/>
    <col min="27" max="27" width="10.714285714285714" style="56" customWidth="1" collapsed="1"/>
    <col min="28" max="31" width="10.714285714285714" style="56" hidden="1" customWidth="1" outlineLevel="1"/>
    <col min="32" max="32" width="10.714285714285714" style="56" customWidth="1" collapsed="1"/>
    <col min="33" max="36" width="10.714285714285714" style="56" hidden="1" customWidth="1" outlineLevel="1"/>
    <col min="37" max="37" width="10.714285714285714" style="56" customWidth="1" collapsed="1"/>
    <col min="38" max="41" width="10.714285714285714" style="56" hidden="1" customWidth="1" outlineLevel="1"/>
    <col min="42" max="42" width="10.714285714285714" style="56" collapsed="1"/>
    <col min="43" max="46" width="10.714285714285714" style="56" hidden="1" customWidth="1" outlineLevel="1"/>
    <col min="47" max="47" width="10.714285714285714" style="56" collapsed="1"/>
    <col min="48" max="51" width="10.714285714285714" style="56" hidden="1" customWidth="1" outlineLevel="1"/>
    <col min="52" max="52" width="11.571428571428571" style="56" bestFit="1" customWidth="1" collapsed="1"/>
    <col min="53" max="56" width="10.714285714285714" style="56" customWidth="1" outlineLevel="1"/>
    <col min="57" max="57" width="10.714285714285714" style="56" customWidth="1"/>
    <col min="58" max="61" width="10.714285714285714" style="56" customWidth="1" outlineLevel="1"/>
    <col min="62" max="62" width="10.714285714285714" style="56"/>
    <col min="63" max="66" width="10.714285714285714" style="56" customWidth="1" outlineLevel="1"/>
    <col min="67" max="16384" width="10.714285714285714" style="56"/>
  </cols>
  <sheetData>
    <row r="1" spans="1:71" ht="28.5">
      <c r="A1" s="129" t="s">
        <v>10</v>
      </c>
      <c r="B1" s="814"/>
      <c r="C1" s="814"/>
      <c r="D1" s="814"/>
      <c r="E1" s="814"/>
      <c r="F1" s="814"/>
      <c r="G1" s="814"/>
      <c r="H1" s="814"/>
      <c r="I1" s="814"/>
      <c r="J1" s="814"/>
      <c r="K1" s="814"/>
      <c r="L1" s="814"/>
      <c r="M1" s="814"/>
      <c r="N1" s="814"/>
      <c r="O1" s="814"/>
      <c r="P1" s="814"/>
      <c r="Q1" s="814"/>
      <c r="R1" s="814"/>
      <c r="S1" s="814"/>
      <c r="T1" s="814"/>
      <c r="U1" s="814"/>
      <c r="V1" s="814"/>
      <c r="W1" s="814"/>
      <c r="X1" s="814"/>
      <c r="Y1" s="814"/>
      <c r="Z1" s="814"/>
      <c r="AA1" s="814"/>
      <c r="AB1" s="814"/>
      <c r="AC1" s="814"/>
      <c r="AD1" s="814"/>
      <c r="AE1" s="814"/>
      <c r="AF1" s="814"/>
      <c r="AG1" s="814"/>
      <c r="AH1" s="814"/>
      <c r="AI1" s="814"/>
      <c r="AJ1" s="814"/>
      <c r="AK1" s="814"/>
      <c r="AL1" s="814"/>
      <c r="AM1" s="814"/>
      <c r="AN1" s="814"/>
      <c r="AO1" s="814"/>
      <c r="AP1" s="814"/>
      <c r="AQ1" s="814"/>
      <c r="AR1" s="814"/>
      <c r="AS1" s="814"/>
      <c r="AT1" s="814"/>
      <c r="AU1" s="814"/>
      <c r="AV1" s="814"/>
      <c r="AW1" s="814"/>
      <c r="AX1" s="814"/>
      <c r="AY1" s="814"/>
      <c r="AZ1" s="814"/>
      <c r="BA1" s="814"/>
      <c r="BB1" s="814"/>
      <c r="BC1" s="814"/>
      <c r="BD1" s="814"/>
      <c r="BE1" s="814"/>
      <c r="BF1" s="814"/>
      <c r="BG1" s="814"/>
      <c r="BH1" s="815"/>
      <c r="BI1" s="814"/>
      <c r="BJ1" s="814"/>
      <c r="BK1" s="814"/>
      <c r="BL1" s="814"/>
      <c r="BM1" s="814"/>
      <c r="BN1" s="814"/>
      <c r="BO1" s="814"/>
      <c r="BP1" s="814"/>
      <c r="BQ1" s="814"/>
      <c r="BR1" s="814"/>
      <c r="BS1" s="816"/>
    </row>
    <row r="2" spans="1:71" s="40" customFormat="1" ht="15">
      <c r="A2" s="462" t="str">
        <f>CHOOSE(MO.DataSourceIndex,MO.Ticker.Bloomberg,MO.Ticker.CapIQ,MO.Ticker.FactSet,MO.Ticker.Thomson)</f>
        <v>AFL US</v>
      </c>
      <c r="B2" s="482"/>
      <c r="C2" s="190">
        <f>EOMONTH(C4,-12)</f>
        <v>39813</v>
      </c>
      <c r="D2" s="245"/>
      <c r="E2" s="245"/>
      <c r="F2" s="245"/>
      <c r="G2" s="245"/>
      <c r="H2" s="245"/>
      <c r="I2" s="245"/>
      <c r="J2" s="245"/>
      <c r="K2" s="245"/>
      <c r="L2" s="245"/>
      <c r="M2" s="245"/>
      <c r="N2" s="245"/>
      <c r="O2" s="245"/>
      <c r="P2" s="245"/>
      <c r="Q2" s="245"/>
      <c r="R2" s="245"/>
      <c r="S2" s="245"/>
      <c r="T2" s="245"/>
      <c r="U2" s="245"/>
      <c r="V2" s="245"/>
      <c r="W2" s="245"/>
      <c r="X2" s="245"/>
      <c r="Y2" s="245"/>
      <c r="Z2" s="245"/>
      <c r="AA2" s="245"/>
      <c r="AB2" s="245"/>
      <c r="AC2" s="245"/>
      <c r="AD2" s="245"/>
      <c r="AE2" s="245"/>
      <c r="AF2" s="245"/>
      <c r="AG2" s="245"/>
      <c r="AH2" s="245"/>
      <c r="AI2" s="245"/>
      <c r="AJ2" s="245"/>
      <c r="AK2" s="245"/>
      <c r="AL2" s="245"/>
      <c r="AM2" s="245"/>
      <c r="AN2" s="245"/>
      <c r="AO2" s="245"/>
      <c r="AP2" s="245"/>
      <c r="AQ2" s="245"/>
      <c r="AR2" s="245"/>
      <c r="AS2" s="245"/>
      <c r="AT2" s="245"/>
      <c r="AU2" s="245"/>
      <c r="AV2" s="639" t="s">
        <v>501</v>
      </c>
      <c r="AW2" s="639" t="s">
        <v>501</v>
      </c>
      <c r="AX2" s="639" t="s">
        <v>501</v>
      </c>
      <c r="AY2" s="639" t="s">
        <v>501</v>
      </c>
      <c r="AZ2" s="639" t="s">
        <v>501</v>
      </c>
      <c r="BA2" s="245"/>
      <c r="BB2" s="639"/>
      <c r="BC2" s="639"/>
      <c r="BD2" s="639"/>
      <c r="BE2" s="639"/>
      <c r="BF2" s="245"/>
      <c r="BG2" s="639"/>
      <c r="BH2" s="793"/>
      <c r="BI2" s="245"/>
      <c r="BJ2" s="245"/>
      <c r="BK2" s="245"/>
      <c r="BL2" s="245"/>
      <c r="BM2" s="245"/>
      <c r="BN2" s="245"/>
      <c r="BO2" s="245"/>
      <c r="BP2" s="245"/>
      <c r="BQ2" s="245"/>
      <c r="BR2" s="245"/>
      <c r="BS2" s="243"/>
    </row>
    <row r="3" spans="1:71" s="40" customFormat="1" ht="15">
      <c r="A3" s="463" t="str">
        <f ca="1">HP.TradeCurrency</f>
        <v>USD</v>
      </c>
      <c r="B3" s="464">
        <f ca="1">IF(MO.RealTime="OFF",MO.LastPriceHardcoded,MO.LastPriceFormula)</f>
        <v>104.51000000000001</v>
      </c>
      <c r="C3" s="958">
        <f>C4-C2</f>
        <v>365</v>
      </c>
      <c r="D3" s="958">
        <f t="shared" si="0" ref="D3:K3">D4-C4</f>
        <v>365</v>
      </c>
      <c r="E3" s="958">
        <f t="shared" si="0"/>
        <v>365</v>
      </c>
      <c r="F3" s="958">
        <f t="shared" si="0"/>
        <v>366</v>
      </c>
      <c r="G3" s="958">
        <f t="shared" si="0"/>
        <v>365</v>
      </c>
      <c r="H3" s="86">
        <f t="shared" si="0"/>
        <v>90</v>
      </c>
      <c r="I3" s="86">
        <f t="shared" si="0"/>
        <v>91</v>
      </c>
      <c r="J3" s="86">
        <f t="shared" si="0"/>
        <v>92</v>
      </c>
      <c r="K3" s="86">
        <f t="shared" si="0"/>
        <v>92</v>
      </c>
      <c r="L3" s="958">
        <f>L4-G4</f>
        <v>365</v>
      </c>
      <c r="M3" s="86">
        <f>M4-L4</f>
        <v>90</v>
      </c>
      <c r="N3" s="86">
        <f>N4-M4</f>
        <v>91</v>
      </c>
      <c r="O3" s="86">
        <f>O4-N4</f>
        <v>92</v>
      </c>
      <c r="P3" s="86">
        <f>P4-O4</f>
        <v>92</v>
      </c>
      <c r="Q3" s="958">
        <f>Q4-L4</f>
        <v>365</v>
      </c>
      <c r="R3" s="86">
        <f>R4-Q4</f>
        <v>91</v>
      </c>
      <c r="S3" s="86">
        <f>S4-R4</f>
        <v>91</v>
      </c>
      <c r="T3" s="86">
        <f>T4-S4</f>
        <v>92</v>
      </c>
      <c r="U3" s="86">
        <f>U4-T4</f>
        <v>92</v>
      </c>
      <c r="V3" s="958">
        <f>V4-Q4</f>
        <v>366</v>
      </c>
      <c r="W3" s="86">
        <f>W4-V4</f>
        <v>90</v>
      </c>
      <c r="X3" s="86">
        <f>X4-W4</f>
        <v>91</v>
      </c>
      <c r="Y3" s="86">
        <f>Y4-X4</f>
        <v>92</v>
      </c>
      <c r="Z3" s="86">
        <f>Z4-Y4</f>
        <v>92</v>
      </c>
      <c r="AA3" s="958">
        <f>AA4-V4</f>
        <v>365</v>
      </c>
      <c r="AB3" s="86">
        <f>AB4-AA4</f>
        <v>90</v>
      </c>
      <c r="AC3" s="86">
        <f>AC4-AB4</f>
        <v>91</v>
      </c>
      <c r="AD3" s="86">
        <f>AD4-AC4</f>
        <v>92</v>
      </c>
      <c r="AE3" s="86">
        <f>AE4-AD4</f>
        <v>92</v>
      </c>
      <c r="AF3" s="958">
        <f>AF4-AA4</f>
        <v>365</v>
      </c>
      <c r="AG3" s="86">
        <f>AG4-AF4</f>
        <v>90</v>
      </c>
      <c r="AH3" s="86">
        <f>AH4-AG4</f>
        <v>91</v>
      </c>
      <c r="AI3" s="86">
        <f>AI4-AH4</f>
        <v>92</v>
      </c>
      <c r="AJ3" s="86">
        <f>AJ4-AI4</f>
        <v>92</v>
      </c>
      <c r="AK3" s="958">
        <f>AK4-AF4</f>
        <v>365</v>
      </c>
      <c r="AL3" s="86">
        <f>AL4-AK4</f>
        <v>91</v>
      </c>
      <c r="AM3" s="86">
        <f>AM4-AL4</f>
        <v>91</v>
      </c>
      <c r="AN3" s="86">
        <f>AN4-AM4</f>
        <v>92</v>
      </c>
      <c r="AO3" s="86">
        <f>AO4-AN4</f>
        <v>92</v>
      </c>
      <c r="AP3" s="958">
        <f>AP4-AK4</f>
        <v>366</v>
      </c>
      <c r="AQ3" s="86">
        <f>AQ4-AP4</f>
        <v>90</v>
      </c>
      <c r="AR3" s="86">
        <f>AR4-AQ4</f>
        <v>91</v>
      </c>
      <c r="AS3" s="86">
        <f>AS4-AR4</f>
        <v>92</v>
      </c>
      <c r="AT3" s="86">
        <f>AT4-AS4</f>
        <v>92</v>
      </c>
      <c r="AU3" s="958">
        <f>AU4-AP4</f>
        <v>365</v>
      </c>
      <c r="AV3" s="86">
        <f>AV4-AU4</f>
        <v>90</v>
      </c>
      <c r="AW3" s="86">
        <f>AW4-AV4</f>
        <v>91</v>
      </c>
      <c r="AX3" s="86">
        <f>AX4-AW4</f>
        <v>92</v>
      </c>
      <c r="AY3" s="86">
        <f>AY4-AX4</f>
        <v>92</v>
      </c>
      <c r="AZ3" s="958">
        <f>AZ4-AU4</f>
        <v>365</v>
      </c>
      <c r="BA3" s="86">
        <f>BA4-AZ4</f>
        <v>90</v>
      </c>
      <c r="BB3" s="86">
        <f>BB4-BA4</f>
        <v>91</v>
      </c>
      <c r="BC3" s="86">
        <f>BC4-BB4</f>
        <v>92</v>
      </c>
      <c r="BD3" s="86">
        <f>BD4-BC4</f>
        <v>92</v>
      </c>
      <c r="BE3" s="958">
        <f>BE4-AZ4</f>
        <v>365</v>
      </c>
      <c r="BF3" s="86">
        <f>BF4-BE4</f>
        <v>91</v>
      </c>
      <c r="BG3" s="86">
        <f>BG4-BF4</f>
        <v>91</v>
      </c>
      <c r="BH3" s="732">
        <f>BH4-BG4</f>
        <v>92</v>
      </c>
      <c r="BI3" s="27">
        <f>BI4-BH4</f>
        <v>92</v>
      </c>
      <c r="BJ3" s="959">
        <f>BJ4-BE4</f>
        <v>366</v>
      </c>
      <c r="BK3" s="27">
        <f>BK4-BJ4</f>
        <v>90</v>
      </c>
      <c r="BL3" s="27">
        <f>BL4-BK4</f>
        <v>91</v>
      </c>
      <c r="BM3" s="27">
        <f>BM4-BL4</f>
        <v>92</v>
      </c>
      <c r="BN3" s="27">
        <f>BN4-BM4</f>
        <v>92</v>
      </c>
      <c r="BO3" s="959">
        <f>BO4-BJ4</f>
        <v>365</v>
      </c>
      <c r="BP3" s="959">
        <f>BP4-BO4</f>
        <v>365</v>
      </c>
      <c r="BQ3" s="959">
        <f>BQ4-BP4</f>
        <v>365</v>
      </c>
      <c r="BR3" s="959">
        <f>BR4-BQ4</f>
        <v>366</v>
      </c>
      <c r="BS3" s="465"/>
    </row>
    <row r="4" spans="1:71" ht="15">
      <c r="A4" s="466" t="str">
        <f>FP.DataSourceName</f>
        <v>Bloomberg</v>
      </c>
      <c r="B4" s="307" t="str">
        <f ca="1">IF(AND(MO.RealTimeStockPriceToggle,MO.LastPriceFormula&lt;&gt;"N/A"),"ON","OFF")</f>
        <v>OFF</v>
      </c>
      <c r="C4" s="960">
        <v>40178</v>
      </c>
      <c r="D4" s="961">
        <f>EOMONTH(C4,12)</f>
        <v>40543</v>
      </c>
      <c r="E4" s="961">
        <f>EOMONTH(D4,12)</f>
        <v>40908</v>
      </c>
      <c r="F4" s="961">
        <f>EOMONTH(E4,12)</f>
        <v>41274</v>
      </c>
      <c r="G4" s="961">
        <f>EOMONTH(F4,12)</f>
        <v>41639</v>
      </c>
      <c r="H4" s="39">
        <f>EOMONTH(G4,3)</f>
        <v>41729</v>
      </c>
      <c r="I4" s="39">
        <f>EOMONTH(H4,3)</f>
        <v>41820</v>
      </c>
      <c r="J4" s="39">
        <f>EOMONTH(I4,3)</f>
        <v>41912</v>
      </c>
      <c r="K4" s="39">
        <f>EOMONTH(J4,3)</f>
        <v>42004</v>
      </c>
      <c r="L4" s="961">
        <f>K4</f>
        <v>42004</v>
      </c>
      <c r="M4" s="39">
        <f>EOMONTH(L4,3)</f>
        <v>42094</v>
      </c>
      <c r="N4" s="39">
        <f>EOMONTH(M4,3)</f>
        <v>42185</v>
      </c>
      <c r="O4" s="39">
        <f>EOMONTH(N4,3)</f>
        <v>42277</v>
      </c>
      <c r="P4" s="39">
        <f>EOMONTH(O4,3)</f>
        <v>42369</v>
      </c>
      <c r="Q4" s="961">
        <f>P4</f>
        <v>42369</v>
      </c>
      <c r="R4" s="39">
        <f>EOMONTH(Q4,3)</f>
        <v>42460</v>
      </c>
      <c r="S4" s="156">
        <f>EOMONTH(R4,3)</f>
        <v>42551</v>
      </c>
      <c r="T4" s="39">
        <f>EOMONTH(S4,3)</f>
        <v>42643</v>
      </c>
      <c r="U4" s="39">
        <f>EOMONTH(T4,3)</f>
        <v>42735</v>
      </c>
      <c r="V4" s="961">
        <f>U4</f>
        <v>42735</v>
      </c>
      <c r="W4" s="39">
        <f>EOMONTH(V4,3)</f>
        <v>42825</v>
      </c>
      <c r="X4" s="156">
        <f>EOMONTH(W4,3)</f>
        <v>42916</v>
      </c>
      <c r="Y4" s="39">
        <f>EOMONTH(X4,3)</f>
        <v>43008</v>
      </c>
      <c r="Z4" s="39">
        <f>EOMONTH(Y4,3)</f>
        <v>43100</v>
      </c>
      <c r="AA4" s="961">
        <f>Z4</f>
        <v>43100</v>
      </c>
      <c r="AB4" s="39">
        <f>EOMONTH(AA4,3)</f>
        <v>43190</v>
      </c>
      <c r="AC4" s="156">
        <f>EOMONTH(AB4,3)</f>
        <v>43281</v>
      </c>
      <c r="AD4" s="39">
        <f>EOMONTH(AC4,3)</f>
        <v>43373</v>
      </c>
      <c r="AE4" s="39">
        <f>EOMONTH(AD4,3)</f>
        <v>43465</v>
      </c>
      <c r="AF4" s="961">
        <f>AE4</f>
        <v>43465</v>
      </c>
      <c r="AG4" s="39">
        <f>EOMONTH(AF4,3)</f>
        <v>43555</v>
      </c>
      <c r="AH4" s="156">
        <f>EOMONTH(AG4,3)</f>
        <v>43646</v>
      </c>
      <c r="AI4" s="39">
        <f>EOMONTH(AH4,3)</f>
        <v>43738</v>
      </c>
      <c r="AJ4" s="39">
        <f>EOMONTH(AI4,3)</f>
        <v>43830</v>
      </c>
      <c r="AK4" s="961">
        <f>AJ4</f>
        <v>43830</v>
      </c>
      <c r="AL4" s="39">
        <f>EOMONTH(AK4,3)</f>
        <v>43921</v>
      </c>
      <c r="AM4" s="156">
        <f>EOMONTH(AL4,3)</f>
        <v>44012</v>
      </c>
      <c r="AN4" s="39">
        <f>EOMONTH(AM4,3)</f>
        <v>44104</v>
      </c>
      <c r="AO4" s="39">
        <f>EOMONTH(AN4,3)</f>
        <v>44196</v>
      </c>
      <c r="AP4" s="961">
        <f>AO4</f>
        <v>44196</v>
      </c>
      <c r="AQ4" s="39">
        <f>EOMONTH(AP4,3)</f>
        <v>44286</v>
      </c>
      <c r="AR4" s="156">
        <f>EOMONTH(AQ4,3)</f>
        <v>44377</v>
      </c>
      <c r="AS4" s="39">
        <f>EOMONTH(AR4,3)</f>
        <v>44469</v>
      </c>
      <c r="AT4" s="39">
        <f>EOMONTH(AS4,3)</f>
        <v>44561</v>
      </c>
      <c r="AU4" s="961">
        <f>AT4</f>
        <v>44561</v>
      </c>
      <c r="AV4" s="39">
        <f>EOMONTH(AU4,3)</f>
        <v>44651</v>
      </c>
      <c r="AW4" s="156">
        <f>EOMONTH(AV4,3)</f>
        <v>44742</v>
      </c>
      <c r="AX4" s="39">
        <f>EOMONTH(AW4,3)</f>
        <v>44834</v>
      </c>
      <c r="AY4" s="39">
        <f>EOMONTH(AX4,3)</f>
        <v>44926</v>
      </c>
      <c r="AZ4" s="961">
        <f>AY4</f>
        <v>44926</v>
      </c>
      <c r="BA4" s="39">
        <f>EOMONTH(AZ4,3)</f>
        <v>45016</v>
      </c>
      <c r="BB4" s="156">
        <f>EOMONTH(BA4,3)</f>
        <v>45107</v>
      </c>
      <c r="BC4" s="39">
        <f>EOMONTH(BB4,3)</f>
        <v>45199</v>
      </c>
      <c r="BD4" s="39">
        <f>EOMONTH(BC4,3)</f>
        <v>45291</v>
      </c>
      <c r="BE4" s="961">
        <f>BD4</f>
        <v>45291</v>
      </c>
      <c r="BF4" s="39">
        <f>EOMONTH(BE4,3)</f>
        <v>45382</v>
      </c>
      <c r="BG4" s="156">
        <f>EOMONTH(BF4,3)</f>
        <v>45473</v>
      </c>
      <c r="BH4" s="878">
        <f>EOMONTH(BG4,3)</f>
        <v>45565</v>
      </c>
      <c r="BI4" s="39">
        <f>EOMONTH(BH4,3)</f>
        <v>45657</v>
      </c>
      <c r="BJ4" s="961">
        <f>BI4</f>
        <v>45657</v>
      </c>
      <c r="BK4" s="39">
        <f>EOMONTH(BJ4,3)</f>
        <v>45747</v>
      </c>
      <c r="BL4" s="39">
        <f>EOMONTH(BK4,3)</f>
        <v>45838</v>
      </c>
      <c r="BM4" s="39">
        <f>EOMONTH(BL4,3)</f>
        <v>45930</v>
      </c>
      <c r="BN4" s="39">
        <f>EOMONTH(BM4,3)</f>
        <v>46022</v>
      </c>
      <c r="BO4" s="961">
        <f>BN4</f>
        <v>46022</v>
      </c>
      <c r="BP4" s="961">
        <f>EOMONTH(BO4,12)</f>
        <v>46387</v>
      </c>
      <c r="BQ4" s="961">
        <f>EOMONTH(BP4,12)</f>
        <v>46752</v>
      </c>
      <c r="BR4" s="961">
        <f>EOMONTH(BQ4,12)</f>
        <v>47118</v>
      </c>
      <c r="BS4" s="227"/>
    </row>
    <row r="5" spans="1:71" s="40" customFormat="1" ht="15">
      <c r="A5" s="104" t="str">
        <f>MO.ReportCurrency</f>
        <v>USD</v>
      </c>
      <c r="B5" s="483"/>
      <c r="C5" s="962" t="s">
        <v>12</v>
      </c>
      <c r="D5" s="963" t="str">
        <f>CONCATENATE("FY",RIGHT(C5,4)+1)</f>
        <v>FY2010</v>
      </c>
      <c r="E5" s="963" t="str">
        <f>CONCATENATE("FY",RIGHT(D5,4)+1)</f>
        <v>FY2011</v>
      </c>
      <c r="F5" s="963" t="str">
        <f>CONCATENATE("FY",RIGHT(E5,4)+1)</f>
        <v>FY2012</v>
      </c>
      <c r="G5" s="963" t="str">
        <f>CONCATENATE("FY",RIGHT(F5,4)+1)</f>
        <v>FY2013</v>
      </c>
      <c r="H5" s="28" t="str">
        <f>CONCATENATE("Q1","-",RIGHT(G5,4)+1)</f>
        <v>Q1-2014</v>
      </c>
      <c r="I5" s="28" t="str">
        <f>CONCATENATE("Q2","-",RIGHT(H5,4))</f>
        <v>Q2-2014</v>
      </c>
      <c r="J5" s="28" t="str">
        <f>CONCATENATE("Q3","-",RIGHT(I5,4))</f>
        <v>Q3-2014</v>
      </c>
      <c r="K5" s="28" t="str">
        <f>CONCATENATE("Q4","-",RIGHT(J5,4))</f>
        <v>Q4-2014</v>
      </c>
      <c r="L5" s="963" t="str">
        <f>CONCATENATE("FY",RIGHT(G5,4)+1)</f>
        <v>FY2014</v>
      </c>
      <c r="M5" s="28" t="str">
        <f>CONCATENATE("Q1","-",RIGHT(L5,4)+1)</f>
        <v>Q1-2015</v>
      </c>
      <c r="N5" s="28" t="str">
        <f>CONCATENATE("Q2","-",RIGHT(M5,4))</f>
        <v>Q2-2015</v>
      </c>
      <c r="O5" s="28" t="str">
        <f>CONCATENATE("Q3","-",RIGHT(N5,4))</f>
        <v>Q3-2015</v>
      </c>
      <c r="P5" s="28" t="str">
        <f>CONCATENATE("Q4","-",RIGHT(O5,4))</f>
        <v>Q4-2015</v>
      </c>
      <c r="Q5" s="963" t="str">
        <f>CONCATENATE("FY",RIGHT(L5,4)+1)</f>
        <v>FY2015</v>
      </c>
      <c r="R5" s="28" t="str">
        <f>CONCATENATE("Q1","-",RIGHT(Q5,4)+1)</f>
        <v>Q1-2016</v>
      </c>
      <c r="S5" s="98" t="str">
        <f>CONCATENATE("Q2","-",RIGHT(R5,4))</f>
        <v>Q2-2016</v>
      </c>
      <c r="T5" s="28" t="str">
        <f>CONCATENATE("Q3","-",RIGHT(S5,4))</f>
        <v>Q3-2016</v>
      </c>
      <c r="U5" s="28" t="str">
        <f>CONCATENATE("Q4","-",RIGHT(T5,4))</f>
        <v>Q4-2016</v>
      </c>
      <c r="V5" s="963" t="str">
        <f>CONCATENATE("FY",RIGHT(Q5,4)+1)</f>
        <v>FY2016</v>
      </c>
      <c r="W5" s="28" t="str">
        <f>CONCATENATE("Q1","-",RIGHT(V5,4)+1)</f>
        <v>Q1-2017</v>
      </c>
      <c r="X5" s="98" t="str">
        <f>CONCATENATE("Q2","-",RIGHT(W5,4))</f>
        <v>Q2-2017</v>
      </c>
      <c r="Y5" s="28" t="str">
        <f>CONCATENATE("Q3","-",RIGHT(X5,4))</f>
        <v>Q3-2017</v>
      </c>
      <c r="Z5" s="28" t="str">
        <f>CONCATENATE("Q4","-",RIGHT(Y5,4))</f>
        <v>Q4-2017</v>
      </c>
      <c r="AA5" s="963" t="str">
        <f>CONCATENATE("FY",RIGHT(V5,4)+1)</f>
        <v>FY2017</v>
      </c>
      <c r="AB5" s="28" t="str">
        <f>CONCATENATE("Q1","-",RIGHT(AA5,4)+1)</f>
        <v>Q1-2018</v>
      </c>
      <c r="AC5" s="98" t="str">
        <f>CONCATENATE("Q2","-",RIGHT(AB5,4))</f>
        <v>Q2-2018</v>
      </c>
      <c r="AD5" s="28" t="str">
        <f>CONCATENATE("Q3","-",RIGHT(AC5,4))</f>
        <v>Q3-2018</v>
      </c>
      <c r="AE5" s="28" t="str">
        <f>CONCATENATE("Q4","-",RIGHT(AD5,4))</f>
        <v>Q4-2018</v>
      </c>
      <c r="AF5" s="963" t="str">
        <f>CONCATENATE("FY",RIGHT(AA5,4)+1)</f>
        <v>FY2018</v>
      </c>
      <c r="AG5" s="28" t="str">
        <f>CONCATENATE("Q1","-",RIGHT(AF5,4)+1)</f>
        <v>Q1-2019</v>
      </c>
      <c r="AH5" s="98" t="str">
        <f>CONCATENATE("Q2","-",RIGHT(AG5,4))</f>
        <v>Q2-2019</v>
      </c>
      <c r="AI5" s="28" t="str">
        <f>CONCATENATE("Q3","-",RIGHT(AH5,4))</f>
        <v>Q3-2019</v>
      </c>
      <c r="AJ5" s="28" t="str">
        <f>CONCATENATE("Q4","-",RIGHT(AI5,4))</f>
        <v>Q4-2019</v>
      </c>
      <c r="AK5" s="963" t="str">
        <f>CONCATENATE("FY",RIGHT(AF5,4)+1)</f>
        <v>FY2019</v>
      </c>
      <c r="AL5" s="28" t="str">
        <f>CONCATENATE("Q1","-",RIGHT(AK5,4)+1)</f>
        <v>Q1-2020</v>
      </c>
      <c r="AM5" s="98" t="str">
        <f>CONCATENATE("Q2","-",RIGHT(AL5,4))</f>
        <v>Q2-2020</v>
      </c>
      <c r="AN5" s="28" t="str">
        <f>CONCATENATE("Q3","-",RIGHT(AM5,4))</f>
        <v>Q3-2020</v>
      </c>
      <c r="AO5" s="28" t="str">
        <f>CONCATENATE("Q4","-",RIGHT(AN5,4))</f>
        <v>Q4-2020</v>
      </c>
      <c r="AP5" s="963" t="str">
        <f>CONCATENATE("FY",RIGHT(AK5,4)+1)</f>
        <v>FY2020</v>
      </c>
      <c r="AQ5" s="28" t="str">
        <f>CONCATENATE("Q1","-",RIGHT(AP5,4)+1)</f>
        <v>Q1-2021</v>
      </c>
      <c r="AR5" s="28" t="str">
        <f>CONCATENATE("Q2","-",RIGHT(AQ5,4))</f>
        <v>Q2-2021</v>
      </c>
      <c r="AS5" s="28" t="str">
        <f>CONCATENATE("Q3","-",RIGHT(AR5,4))</f>
        <v>Q3-2021</v>
      </c>
      <c r="AT5" s="28" t="str">
        <f>CONCATENATE("Q4","-",RIGHT(AS5,4))</f>
        <v>Q4-2021</v>
      </c>
      <c r="AU5" s="963" t="str">
        <f>CONCATENATE("FY",RIGHT(AP5,4)+1)</f>
        <v>FY2021</v>
      </c>
      <c r="AV5" s="28" t="str">
        <f>CONCATENATE("Q1","-",RIGHT(AU5,4)+1)</f>
        <v>Q1-2022</v>
      </c>
      <c r="AW5" s="28" t="str">
        <f>CONCATENATE("Q2","-",RIGHT(AV5,4))</f>
        <v>Q2-2022</v>
      </c>
      <c r="AX5" s="28" t="str">
        <f>CONCATENATE("Q3","-",RIGHT(AW5,4))</f>
        <v>Q3-2022</v>
      </c>
      <c r="AY5" s="28" t="str">
        <f>CONCATENATE("Q4","-",RIGHT(AX5,4))</f>
        <v>Q4-2022</v>
      </c>
      <c r="AZ5" s="963" t="str">
        <f>CONCATENATE("FY",RIGHT(AU5,4)+1)</f>
        <v>FY2022</v>
      </c>
      <c r="BA5" s="28" t="str">
        <f>CONCATENATE("Q1","-",RIGHT(AZ5,4)+1)</f>
        <v>Q1-2023</v>
      </c>
      <c r="BB5" s="28" t="str">
        <f>CONCATENATE("Q2","-",RIGHT(BA5,4))</f>
        <v>Q2-2023</v>
      </c>
      <c r="BC5" s="28" t="str">
        <f>CONCATENATE("Q3","-",RIGHT(BB5,4))</f>
        <v>Q3-2023</v>
      </c>
      <c r="BD5" s="28" t="str">
        <f>CONCATENATE("Q4","-",RIGHT(BC5,4))</f>
        <v>Q4-2023</v>
      </c>
      <c r="BE5" s="963" t="str">
        <f>CONCATENATE("FY",RIGHT(AZ5,4)+1)</f>
        <v>FY2023</v>
      </c>
      <c r="BF5" s="28" t="str">
        <f>CONCATENATE("Q1","-",RIGHT(BE5,4)+1)</f>
        <v>Q1-2024</v>
      </c>
      <c r="BG5" s="28" t="str">
        <f>CONCATENATE("Q2","-",RIGHT(BF5,4))</f>
        <v>Q2-2024</v>
      </c>
      <c r="BH5" s="733" t="str">
        <f>CONCATENATE("Q3","-",RIGHT(BG5,4))</f>
        <v>Q3-2024</v>
      </c>
      <c r="BI5" s="28" t="str">
        <f>CONCATENATE("Q4","-",RIGHT(BH5,4))</f>
        <v>Q4-2024</v>
      </c>
      <c r="BJ5" s="963" t="str">
        <f>CONCATENATE("FY",RIGHT(BE5,4)+1)</f>
        <v>FY2024</v>
      </c>
      <c r="BK5" s="28" t="str">
        <f>CONCATENATE("Q1","-",RIGHT(BJ5,4)+1)</f>
        <v>Q1-2025</v>
      </c>
      <c r="BL5" s="28" t="str">
        <f>CONCATENATE("Q2","-",RIGHT(BK5,4))</f>
        <v>Q2-2025</v>
      </c>
      <c r="BM5" s="28" t="str">
        <f>CONCATENATE("Q3","-",RIGHT(BL5,4))</f>
        <v>Q3-2025</v>
      </c>
      <c r="BN5" s="28" t="str">
        <f>CONCATENATE("Q4","-",RIGHT(BM5,4))</f>
        <v>Q4-2025</v>
      </c>
      <c r="BO5" s="963" t="str">
        <f>CONCATENATE("FY",RIGHT(BJ5,4)+1)</f>
        <v>FY2025</v>
      </c>
      <c r="BP5" s="963" t="str">
        <f>CONCATENATE("FY",RIGHT(BO5,4)+1)</f>
        <v>FY2026</v>
      </c>
      <c r="BQ5" s="963" t="str">
        <f>CONCATENATE("FY",RIGHT(BP5,4)+1)</f>
        <v>FY2027</v>
      </c>
      <c r="BR5" s="963" t="str">
        <f>CONCATENATE("FY",RIGHT(BQ5,4)+1)</f>
        <v>FY2028</v>
      </c>
      <c r="BS5" s="243"/>
    </row>
    <row r="6" spans="1:71" s="41" customFormat="1" ht="15">
      <c r="A6" s="99" t="s">
        <v>13</v>
      </c>
      <c r="B6" s="99"/>
      <c r="C6" s="99"/>
      <c r="D6" s="99"/>
      <c r="E6" s="99"/>
      <c r="F6" s="99"/>
      <c r="G6" s="99"/>
      <c r="H6" s="99"/>
      <c r="I6" s="99"/>
      <c r="J6" s="99"/>
      <c r="K6" s="99"/>
      <c r="L6" s="99"/>
      <c r="M6" s="99"/>
      <c r="N6" s="99"/>
      <c r="O6" s="99"/>
      <c r="P6" s="99"/>
      <c r="Q6" s="99"/>
      <c r="R6" s="99"/>
      <c r="S6" s="99"/>
      <c r="T6" s="99"/>
      <c r="U6" s="99"/>
      <c r="V6" s="99"/>
      <c r="W6" s="99"/>
      <c r="X6" s="99"/>
      <c r="Y6" s="99"/>
      <c r="Z6" s="99"/>
      <c r="AA6" s="99"/>
      <c r="AB6" s="99"/>
      <c r="AC6" s="99"/>
      <c r="AD6" s="99"/>
      <c r="AE6" s="99"/>
      <c r="AF6" s="99"/>
      <c r="AG6" s="99"/>
      <c r="AH6" s="99"/>
      <c r="AI6" s="99"/>
      <c r="AJ6" s="99"/>
      <c r="AK6" s="99"/>
      <c r="AL6" s="99"/>
      <c r="AM6" s="99"/>
      <c r="AN6" s="99"/>
      <c r="AO6" s="99"/>
      <c r="AP6" s="99"/>
      <c r="AQ6" s="99"/>
      <c r="AR6" s="99"/>
      <c r="AS6" s="99"/>
      <c r="AT6" s="99"/>
      <c r="AU6" s="99"/>
      <c r="AV6" s="99"/>
      <c r="AW6" s="99"/>
      <c r="AX6" s="99"/>
      <c r="AY6" s="99"/>
      <c r="AZ6" s="99"/>
      <c r="BA6" s="99"/>
      <c r="BB6" s="99"/>
      <c r="BC6" s="99"/>
      <c r="BD6" s="99"/>
      <c r="BE6" s="99"/>
      <c r="BF6" s="99"/>
      <c r="BG6" s="99"/>
      <c r="BH6" s="597"/>
      <c r="BI6" s="99"/>
      <c r="BJ6" s="99"/>
      <c r="BK6" s="99"/>
      <c r="BL6" s="99"/>
      <c r="BM6" s="99"/>
      <c r="BN6" s="99"/>
      <c r="BO6" s="99"/>
      <c r="BP6" s="99"/>
      <c r="BQ6" s="99"/>
      <c r="BR6" s="99"/>
      <c r="BS6" s="158"/>
    </row>
    <row r="7" spans="1:71" s="42" customFormat="1" ht="15">
      <c r="A7" s="408" t="s">
        <v>371</v>
      </c>
      <c r="B7" s="393"/>
      <c r="C7" s="964"/>
      <c r="D7" s="965">
        <f t="shared" si="1" ref="D7:G8">D14/C14-1</f>
        <v>0.10748891443586794</v>
      </c>
      <c r="E7" s="965">
        <f t="shared" si="1"/>
        <v>0.15807814932898356</v>
      </c>
      <c r="F7" s="965">
        <f t="shared" si="1"/>
        <v>0.098085664895319891</v>
      </c>
      <c r="G7" s="965">
        <f t="shared" si="1"/>
        <v>-0.1264649291586496</v>
      </c>
      <c r="H7" s="395"/>
      <c r="I7" s="395"/>
      <c r="J7" s="395"/>
      <c r="K7" s="395"/>
      <c r="L7" s="965">
        <f t="shared" si="2" ref="L7:U8">L14/G14-1</f>
        <v>-0.074823121078627652</v>
      </c>
      <c r="M7" s="91">
        <f t="shared" si="2"/>
        <v>-0.13539325842696626</v>
      </c>
      <c r="N7" s="91">
        <f t="shared" si="2"/>
        <v>-0.16769144773616551</v>
      </c>
      <c r="O7" s="91">
        <f t="shared" si="2"/>
        <v>-0.15647990945104695</v>
      </c>
      <c r="P7" s="91">
        <f t="shared" si="2"/>
        <v>-0.056444026340545572</v>
      </c>
      <c r="Q7" s="965">
        <f t="shared" si="2"/>
        <v>-0.13094293341028784</v>
      </c>
      <c r="R7" s="91">
        <f t="shared" si="2"/>
        <v>0.032813515269655591</v>
      </c>
      <c r="S7" s="91">
        <f t="shared" si="2"/>
        <v>0.14237743451981189</v>
      </c>
      <c r="T7" s="91">
        <f t="shared" si="2"/>
        <v>0.20630660852063065</v>
      </c>
      <c r="U7" s="91">
        <f t="shared" si="2"/>
        <v>0.11665004985044858</v>
      </c>
      <c r="V7" s="965">
        <f t="shared" si="3" ref="V7:AE8">V14/Q14-1</f>
        <v>0.12377552714594064</v>
      </c>
      <c r="W7" s="91">
        <f t="shared" si="3"/>
        <v>0.0047184649260774147</v>
      </c>
      <c r="X7" s="91">
        <f t="shared" si="3"/>
        <v>-0.052910052910052907</v>
      </c>
      <c r="Y7" s="91">
        <f t="shared" si="3"/>
        <v>-0.11012235817575089</v>
      </c>
      <c r="Z7" s="91">
        <f t="shared" si="3"/>
        <v>-0.066666666666666652</v>
      </c>
      <c r="AA7" s="965">
        <f t="shared" si="3"/>
        <v>-0.057989214744773587</v>
      </c>
      <c r="AB7" s="91">
        <f t="shared" si="3"/>
        <v>0.021603005635566719</v>
      </c>
      <c r="AC7" s="91">
        <f t="shared" si="3"/>
        <v>0.0015518311607696234</v>
      </c>
      <c r="AD7" s="91">
        <f t="shared" si="3"/>
        <v>-0.012812500000000004</v>
      </c>
      <c r="AE7" s="91">
        <f t="shared" si="3"/>
        <v>-0.0073341836734693855</v>
      </c>
      <c r="AF7" s="965">
        <f t="shared" si="4" ref="AF7:AQ8">AF14/AA14-1</f>
        <v>0.00078419071518198713</v>
      </c>
      <c r="AG7" s="91">
        <f t="shared" si="4"/>
        <v>-0.025436714679742622</v>
      </c>
      <c r="AH7" s="91">
        <f t="shared" si="4"/>
        <v>-0.017043693833281637</v>
      </c>
      <c r="AI7" s="91">
        <f t="shared" si="4"/>
        <v>0.025957581513136985</v>
      </c>
      <c r="AJ7" s="91">
        <f t="shared" si="4"/>
        <v>0.021201413427561766</v>
      </c>
      <c r="AK7" s="965">
        <f t="shared" si="4"/>
        <v>0.0007835762419683423</v>
      </c>
      <c r="AL7" s="91">
        <f t="shared" si="4"/>
        <v>-0.0094339622641509413</v>
      </c>
      <c r="AM7" s="91">
        <f t="shared" si="4"/>
        <v>-0.0044136191677175418</v>
      </c>
      <c r="AN7" s="91">
        <f t="shared" si="4"/>
        <v>-0.022523912372724442</v>
      </c>
      <c r="AO7" s="91">
        <f t="shared" si="4"/>
        <v>0.0047184649260774147</v>
      </c>
      <c r="AP7" s="965">
        <f t="shared" si="4"/>
        <v>-0.0079862198559348396</v>
      </c>
      <c r="AQ7" s="91">
        <f t="shared" si="4"/>
        <v>-0.0085714285714285632</v>
      </c>
      <c r="AR7" s="91">
        <f t="shared" si="5" ref="AR7:AU8">AR14/AM14-1</f>
        <v>-0.054148195060164661</v>
      </c>
      <c r="AS7" s="91">
        <f t="shared" si="5"/>
        <v>-0.073863636363636354</v>
      </c>
      <c r="AT7" s="91">
        <f t="shared" si="5"/>
        <v>-0.12085159674389478</v>
      </c>
      <c r="AU7" s="965">
        <f t="shared" si="5"/>
        <v>-0.064483030781373296</v>
      </c>
      <c r="AV7" s="91">
        <f t="shared" si="6" ref="AV7:AX8">AV14/AQ14-1</f>
        <v>-0.15946205571565797</v>
      </c>
      <c r="AW7" s="91">
        <f t="shared" si="6"/>
        <v>-0.21861399397388681</v>
      </c>
      <c r="AX7" s="91">
        <f t="shared" si="6"/>
        <v>-0.2757327880027266</v>
      </c>
      <c r="AY7" s="91">
        <f t="shared" si="7" ref="AY7:AZ8">AY14/AT14-1</f>
        <v>-0.25142450142450146</v>
      </c>
      <c r="AZ7" s="965">
        <f t="shared" si="7"/>
        <v>-0.22500632751202232</v>
      </c>
      <c r="BA7" s="91">
        <f t="shared" si="8" ref="BA7:BC8">BA14/AV14-1</f>
        <v>-0.17333333333333334</v>
      </c>
      <c r="BB7" s="91">
        <f t="shared" si="8"/>
        <v>-0.11568123393316199</v>
      </c>
      <c r="BC7" s="91">
        <f t="shared" si="8"/>
        <v>-0.071529411764705841</v>
      </c>
      <c r="BD7" s="91">
        <f t="shared" si="9" ref="BD7:BI8">BD14/AY14-1</f>
        <v>-0.1246431969552807</v>
      </c>
      <c r="BE7" s="965">
        <f t="shared" si="9"/>
        <v>-0.12399303287611585</v>
      </c>
      <c r="BF7" s="91">
        <f t="shared" si="10" ref="BF7:BH8">BF14/BA14-1</f>
        <v>-0.1631336405529954</v>
      </c>
      <c r="BG7" s="91">
        <f t="shared" si="10"/>
        <v>-0.16908914728682167</v>
      </c>
      <c r="BH7" s="734">
        <f t="shared" si="10"/>
        <v>-0.13380638621388752</v>
      </c>
      <c r="BI7" s="395">
        <f t="shared" si="9"/>
        <v>0.19999999999999996</v>
      </c>
      <c r="BJ7" s="964">
        <f t="shared" si="11" ref="BJ7:BJ8">BJ14/BE14-1</f>
        <v>-0.07443767863800177</v>
      </c>
      <c r="BK7" s="395">
        <f t="shared" si="12" ref="BK7:BO8">BK14/BF14-1</f>
        <v>-0.050000000000000155</v>
      </c>
      <c r="BL7" s="395">
        <f t="shared" si="12"/>
        <v>0.010000000000000009</v>
      </c>
      <c r="BM7" s="395">
        <f t="shared" si="12"/>
        <v>0.14999999999999991</v>
      </c>
      <c r="BN7" s="395">
        <f t="shared" si="12"/>
        <v>0.1100000000000001</v>
      </c>
      <c r="BO7" s="964">
        <f t="shared" si="12"/>
        <v>0.057140171858216959</v>
      </c>
      <c r="BP7" s="964">
        <f t="shared" si="13" ref="BP7:BR8">BP14/BO14-1</f>
        <v>0.010000000000000009</v>
      </c>
      <c r="BQ7" s="964">
        <f t="shared" si="13"/>
        <v>0.010000000000000009</v>
      </c>
      <c r="BR7" s="964">
        <f t="shared" si="13"/>
        <v>0.010000000000000009</v>
      </c>
      <c r="BS7" s="91"/>
    </row>
    <row r="8" spans="1:71" s="42" customFormat="1" ht="15">
      <c r="A8" s="409" t="s">
        <v>372</v>
      </c>
      <c r="B8" s="400"/>
      <c r="C8" s="966"/>
      <c r="D8" s="967">
        <f t="shared" si="1"/>
        <v>0.031953195319532002</v>
      </c>
      <c r="E8" s="967">
        <f t="shared" si="1"/>
        <v>0.034234627126035866</v>
      </c>
      <c r="F8" s="967">
        <f t="shared" si="1"/>
        <v>0.053341766814252622</v>
      </c>
      <c r="G8" s="967">
        <f t="shared" si="1"/>
        <v>0.031425140112089744</v>
      </c>
      <c r="H8" s="402"/>
      <c r="I8" s="402"/>
      <c r="J8" s="402"/>
      <c r="K8" s="402"/>
      <c r="L8" s="967">
        <f t="shared" si="2"/>
        <v>0.011255579274209282</v>
      </c>
      <c r="M8" s="61">
        <f t="shared" si="2"/>
        <v>0.034775888717156089</v>
      </c>
      <c r="N8" s="61">
        <f t="shared" si="2"/>
        <v>0.015255530129671957</v>
      </c>
      <c r="O8" s="61">
        <f t="shared" si="2"/>
        <v>0.030627871362940207</v>
      </c>
      <c r="P8" s="61">
        <f t="shared" si="2"/>
        <v>0.02384615384615385</v>
      </c>
      <c r="Q8" s="967">
        <f t="shared" si="2"/>
        <v>0.026098637497601329</v>
      </c>
      <c r="R8" s="61">
        <f t="shared" si="2"/>
        <v>0.020911127707244237</v>
      </c>
      <c r="S8" s="61">
        <f t="shared" si="2"/>
        <v>0.023290758827948954</v>
      </c>
      <c r="T8" s="61">
        <f t="shared" si="2"/>
        <v>0.014115898959881079</v>
      </c>
      <c r="U8" s="61">
        <f t="shared" si="2"/>
        <v>0.021788129226145703</v>
      </c>
      <c r="V8" s="967">
        <f t="shared" si="3"/>
        <v>0.020011221245558319</v>
      </c>
      <c r="W8" s="61">
        <f t="shared" si="3"/>
        <v>0.016825164594001407</v>
      </c>
      <c r="X8" s="61">
        <f t="shared" si="3"/>
        <v>0.019089574155653377</v>
      </c>
      <c r="Y8" s="61">
        <f t="shared" si="3"/>
        <v>0.02051282051282044</v>
      </c>
      <c r="Z8" s="61">
        <f t="shared" si="3"/>
        <v>0.023529411764705799</v>
      </c>
      <c r="AA8" s="967">
        <f t="shared" si="3"/>
        <v>0.019985331866519962</v>
      </c>
      <c r="AB8" s="61">
        <f t="shared" si="3"/>
        <v>0.026618705035971191</v>
      </c>
      <c r="AC8" s="61">
        <f t="shared" si="3"/>
        <v>0.027377521613832778</v>
      </c>
      <c r="AD8" s="61">
        <f t="shared" si="3"/>
        <v>0.023689877961234673</v>
      </c>
      <c r="AE8" s="61">
        <f t="shared" si="3"/>
        <v>0.026580459770114917</v>
      </c>
      <c r="AF8" s="967">
        <f t="shared" si="4"/>
        <v>0.026065072802444744</v>
      </c>
      <c r="AG8" s="61">
        <f t="shared" si="4"/>
        <v>0.023826208829712758</v>
      </c>
      <c r="AH8" s="61">
        <f t="shared" si="4"/>
        <v>0.023141654978962034</v>
      </c>
      <c r="AI8" s="61">
        <f t="shared" si="4"/>
        <v>0.0133239831697054</v>
      </c>
      <c r="AJ8" s="61">
        <f t="shared" si="4"/>
        <v>0.0097970608817354865</v>
      </c>
      <c r="AK8" s="967">
        <f t="shared" si="4"/>
        <v>0.017519271198318087</v>
      </c>
      <c r="AL8" s="61">
        <f t="shared" si="4"/>
        <v>0.015058179329226595</v>
      </c>
      <c r="AM8" s="61">
        <f t="shared" si="4"/>
        <v>-0.00068540095956137748</v>
      </c>
      <c r="AN8" s="61">
        <f t="shared" si="4"/>
        <v>-0.026297577854671239</v>
      </c>
      <c r="AO8" s="61">
        <f t="shared" si="4"/>
        <v>-0.022869022869022815</v>
      </c>
      <c r="AP8" s="967">
        <f t="shared" si="4"/>
        <v>-0.0086088154269972073</v>
      </c>
      <c r="AQ8" s="61">
        <f t="shared" si="4"/>
        <v>-0.041132838840188812</v>
      </c>
      <c r="AR8" s="61">
        <f t="shared" si="5"/>
        <v>-0.03429355281207136</v>
      </c>
      <c r="AS8" s="61">
        <f t="shared" si="5"/>
        <v>-0.0099502487562188602</v>
      </c>
      <c r="AT8" s="61">
        <f t="shared" si="5"/>
        <v>-0.013475177304964503</v>
      </c>
      <c r="AU8" s="967">
        <f t="shared" si="5"/>
        <v>-0.025008683570684309</v>
      </c>
      <c r="AV8" s="61">
        <f t="shared" si="6"/>
        <v>-0.0063291139240506666</v>
      </c>
      <c r="AW8" s="61">
        <f t="shared" si="6"/>
        <v>-0.0099431818181817677</v>
      </c>
      <c r="AX8" s="61">
        <f t="shared" si="6"/>
        <v>-0.012921751615218913</v>
      </c>
      <c r="AY8" s="61">
        <f t="shared" si="7"/>
        <v>-0.0021567217828900587</v>
      </c>
      <c r="AZ8" s="967">
        <f t="shared" si="7"/>
        <v>-0.0078375489846811419</v>
      </c>
      <c r="BA8" s="61">
        <f t="shared" si="8"/>
        <v>0.010615711252653925</v>
      </c>
      <c r="BB8" s="61">
        <f t="shared" si="8"/>
        <v>0.02223816355810615</v>
      </c>
      <c r="BC8" s="61">
        <f t="shared" si="8"/>
        <v>0.032000000000000028</v>
      </c>
      <c r="BD8" s="61">
        <f t="shared" si="9"/>
        <v>0.010806916426512991</v>
      </c>
      <c r="BE8" s="967">
        <f t="shared" si="9"/>
        <v>0.018850987432674993</v>
      </c>
      <c r="BF8" s="61">
        <f t="shared" si="10"/>
        <v>0.032913165266106548</v>
      </c>
      <c r="BG8" s="61">
        <f t="shared" si="10"/>
        <v>0.021052631578947434</v>
      </c>
      <c r="BH8" s="735">
        <f t="shared" si="10"/>
        <v>0.028188865398167673</v>
      </c>
      <c r="BI8" s="402">
        <f t="shared" si="9"/>
        <v>0.040000000000000036</v>
      </c>
      <c r="BJ8" s="966">
        <f t="shared" si="11"/>
        <v>0.030505726872246619</v>
      </c>
      <c r="BK8" s="402">
        <f t="shared" si="12"/>
        <v>0.0049999999999998934</v>
      </c>
      <c r="BL8" s="402">
        <f t="shared" si="12"/>
        <v>0.0049999999999998934</v>
      </c>
      <c r="BM8" s="402">
        <f t="shared" si="12"/>
        <v>0.0049999999999998934</v>
      </c>
      <c r="BN8" s="402">
        <f t="shared" si="12"/>
        <v>0.0049999999999998934</v>
      </c>
      <c r="BO8" s="966">
        <f t="shared" si="12"/>
        <v>0.0050000000000001155</v>
      </c>
      <c r="BP8" s="966">
        <f t="shared" si="13"/>
        <v>0.0049999999999998934</v>
      </c>
      <c r="BQ8" s="966">
        <f t="shared" si="13"/>
        <v>0.0049999999999998934</v>
      </c>
      <c r="BR8" s="966">
        <f t="shared" si="13"/>
        <v>0.0049999999999998934</v>
      </c>
      <c r="BS8" s="91"/>
    </row>
    <row r="9" spans="1:71" s="42" customFormat="1" ht="15">
      <c r="A9" s="89" t="s">
        <v>14</v>
      </c>
      <c r="B9" s="393"/>
      <c r="C9" s="964"/>
      <c r="D9" s="965">
        <f t="shared" si="14" ref="D9:G10">D201/C201-1</f>
        <v>0.087359364659166161</v>
      </c>
      <c r="E9" s="965">
        <f t="shared" si="14"/>
        <v>0.12665301831461306</v>
      </c>
      <c r="F9" s="965">
        <f t="shared" si="14"/>
        <v>0.087712405461153109</v>
      </c>
      <c r="G9" s="965">
        <f t="shared" si="14"/>
        <v>-0.090888567816507115</v>
      </c>
      <c r="H9" s="395"/>
      <c r="I9" s="395"/>
      <c r="J9" s="395"/>
      <c r="K9" s="395"/>
      <c r="L9" s="965">
        <f t="shared" si="15" ref="L9:U10">L201/G201-1</f>
        <v>-0.052793642910355154</v>
      </c>
      <c r="M9" s="91">
        <f t="shared" si="15"/>
        <v>-0.08693860733415737</v>
      </c>
      <c r="N9" s="91">
        <f t="shared" si="15"/>
        <v>-0.10720130932896887</v>
      </c>
      <c r="O9" s="91">
        <f t="shared" si="15"/>
        <v>-0.095228258624251216</v>
      </c>
      <c r="P9" s="91">
        <f t="shared" si="15"/>
        <v>-0.021162842503898438</v>
      </c>
      <c r="Q9" s="965">
        <f t="shared" si="15"/>
        <v>-0.07875419463087252</v>
      </c>
      <c r="R9" s="91">
        <f t="shared" si="15"/>
        <v>0.038357400722021762</v>
      </c>
      <c r="S9" s="91">
        <f t="shared" si="15"/>
        <v>0.10517873510540787</v>
      </c>
      <c r="T9" s="91">
        <f t="shared" si="15"/>
        <v>0.14657534246575343</v>
      </c>
      <c r="U9" s="91">
        <f t="shared" si="15"/>
        <v>0.087391898042785687</v>
      </c>
      <c r="V9" s="965">
        <f t="shared" si="16" ref="V9:AE10">V201/Q201-1</f>
        <v>0.094194649971542477</v>
      </c>
      <c r="W9" s="91">
        <f t="shared" si="16"/>
        <v>0.0078226857887875312</v>
      </c>
      <c r="X9" s="91">
        <f t="shared" si="16"/>
        <v>-0.032759693137051626</v>
      </c>
      <c r="Y9" s="91">
        <f t="shared" si="16"/>
        <v>-0.074472321784149753</v>
      </c>
      <c r="Z9" s="91">
        <f t="shared" si="16"/>
        <v>-0.041439933026370834</v>
      </c>
      <c r="AA9" s="965">
        <f t="shared" si="16"/>
        <v>-0.036098829648894659</v>
      </c>
      <c r="AB9" s="91">
        <f t="shared" si="16"/>
        <v>0.02307028891763685</v>
      </c>
      <c r="AC9" s="91">
        <f t="shared" si="16"/>
        <v>0.0087888531618434129</v>
      </c>
      <c r="AD9" s="91">
        <f t="shared" si="16"/>
        <v>-0.0025817555938038028</v>
      </c>
      <c r="AE9" s="91">
        <f t="shared" si="16"/>
        <v>0.0021834061135370675</v>
      </c>
      <c r="AF9" s="965">
        <f t="shared" si="17" ref="AF9:AQ10">AF201/AA201-1</f>
        <v>0.0078786897630995778</v>
      </c>
      <c r="AG9" s="91">
        <f t="shared" si="17"/>
        <v>-0.011380400421496351</v>
      </c>
      <c r="AH9" s="91">
        <f t="shared" si="17"/>
        <v>-0.0053123671908201775</v>
      </c>
      <c r="AI9" s="91">
        <f t="shared" si="17"/>
        <v>0.021570319240724833</v>
      </c>
      <c r="AJ9" s="91">
        <f t="shared" si="17"/>
        <v>0.017864923747276773</v>
      </c>
      <c r="AK9" s="965">
        <f t="shared" si="17"/>
        <v>0.0055148043047599238</v>
      </c>
      <c r="AL9" s="91">
        <f t="shared" si="17"/>
        <v>-0.0021317416329140748</v>
      </c>
      <c r="AM9" s="91">
        <f t="shared" si="17"/>
        <v>-0.0036317026276436737</v>
      </c>
      <c r="AN9" s="91">
        <f t="shared" si="17"/>
        <v>-0.023859797297297258</v>
      </c>
      <c r="AO9" s="91">
        <f t="shared" si="17"/>
        <v>-0.0038527397260273988</v>
      </c>
      <c r="AP9" s="965">
        <f t="shared" si="17"/>
        <v>-0.0084132055378062232</v>
      </c>
      <c r="AQ9" s="91">
        <f t="shared" si="17"/>
        <v>-0.018799401837214291</v>
      </c>
      <c r="AR9" s="91">
        <f t="shared" si="18" ref="AR9:AU10">AR201/AM201-1</f>
        <v>-0.047813036020583177</v>
      </c>
      <c r="AS9" s="91">
        <f t="shared" si="18"/>
        <v>-0.054293748648064022</v>
      </c>
      <c r="AT9" s="91">
        <f t="shared" si="18"/>
        <v>-0.088740868070476986</v>
      </c>
      <c r="AU9" s="965">
        <f t="shared" si="18"/>
        <v>-0.052357426699602638</v>
      </c>
      <c r="AV9" s="91">
        <f t="shared" si="19" ref="AV9:AX10">AV201/AQ201-1</f>
        <v>-0.11190942738950582</v>
      </c>
      <c r="AW9" s="91">
        <f t="shared" si="19"/>
        <v>-0.15244314343616305</v>
      </c>
      <c r="AX9" s="91">
        <f t="shared" si="19"/>
        <v>-0.19144556267154622</v>
      </c>
      <c r="AY9" s="91">
        <f t="shared" si="20" ref="AY9:AZ10">AY201/AT201-1</f>
        <v>-0.16929969346852158</v>
      </c>
      <c r="AZ9" s="965">
        <f t="shared" si="20"/>
        <v>-0.15560718535728457</v>
      </c>
      <c r="BA9" s="91">
        <f t="shared" si="21" ref="BA9:BC10">BA201/AV201-1</f>
        <v>-0.09585682765383674</v>
      </c>
      <c r="BB9" s="91">
        <f t="shared" si="21"/>
        <v>-0.050743889479277327</v>
      </c>
      <c r="BC9" s="91">
        <f t="shared" si="21"/>
        <v>-0.016690240452616689</v>
      </c>
      <c r="BD9" s="91">
        <f t="shared" si="22" ref="BD9:BI10">BD201/AY201-1</f>
        <v>-0.03888731195004258</v>
      </c>
      <c r="BE9" s="965">
        <f t="shared" si="22"/>
        <v>-0.052211260989195374</v>
      </c>
      <c r="BF9" s="91">
        <f t="shared" si="23" ref="BF9:BH10">BF201/BA201-1</f>
        <v>-0.062906724511930578</v>
      </c>
      <c r="BG9" s="91">
        <f t="shared" si="23"/>
        <v>-0.069409459837671439</v>
      </c>
      <c r="BH9" s="734">
        <f t="shared" si="23"/>
        <v>-0.042577675489067879</v>
      </c>
      <c r="BI9" s="395">
        <f t="shared" si="22"/>
        <v>0.097790903721205025</v>
      </c>
      <c r="BJ9" s="964">
        <f t="shared" si="24" ref="BJ9:BJ10">BJ201/BE201-1</f>
        <v>-0.021021029526304691</v>
      </c>
      <c r="BK9" s="395">
        <f t="shared" si="25" ref="BK9:BO10">BK201/BF201-1</f>
        <v>-0.057414641203703765</v>
      </c>
      <c r="BL9" s="395">
        <f t="shared" si="25"/>
        <v>-0.024233082706766829</v>
      </c>
      <c r="BM9" s="395">
        <f t="shared" si="25"/>
        <v>0.046167367788461311</v>
      </c>
      <c r="BN9" s="395">
        <f t="shared" si="25"/>
        <v>0.067303611398071839</v>
      </c>
      <c r="BO9" s="964">
        <f t="shared" si="25"/>
        <v>0.0090278834553729759</v>
      </c>
      <c r="BP9" s="964">
        <f t="shared" si="26" ref="BP9:BR10">BP201/BO201-1</f>
        <v>0.0077502016602377655</v>
      </c>
      <c r="BQ9" s="964">
        <f t="shared" si="26"/>
        <v>0.0077570527595129946</v>
      </c>
      <c r="BR9" s="964">
        <f t="shared" si="26"/>
        <v>0.0077638948935425667</v>
      </c>
      <c r="BS9" s="91"/>
    </row>
    <row r="10" spans="1:71" s="42" customFormat="1" ht="15">
      <c r="A10" s="101" t="s">
        <v>15</v>
      </c>
      <c r="B10" s="400"/>
      <c r="C10" s="966"/>
      <c r="D10" s="967">
        <f t="shared" si="14"/>
        <v>0.08752260397830014</v>
      </c>
      <c r="E10" s="967">
        <f t="shared" si="14"/>
        <v>0.090788160957765207</v>
      </c>
      <c r="F10" s="967">
        <f t="shared" si="14"/>
        <v>0.058841463414634143</v>
      </c>
      <c r="G10" s="967">
        <f t="shared" si="14"/>
        <v>-0.051828390440541328</v>
      </c>
      <c r="H10" s="402"/>
      <c r="I10" s="402"/>
      <c r="J10" s="402"/>
      <c r="K10" s="402"/>
      <c r="L10" s="967">
        <f t="shared" si="15"/>
        <v>0.0078955359854235851</v>
      </c>
      <c r="M10" s="61">
        <f t="shared" si="15"/>
        <v>-0.054413542926239455</v>
      </c>
      <c r="N10" s="61">
        <f t="shared" si="15"/>
        <v>-0.078291814946619187</v>
      </c>
      <c r="O10" s="61">
        <f t="shared" si="15"/>
        <v>-0.06777645659928655</v>
      </c>
      <c r="P10" s="61">
        <f t="shared" si="15"/>
        <v>-0.01980198019801982</v>
      </c>
      <c r="Q10" s="967">
        <f t="shared" si="15"/>
        <v>-0.055438385055739725</v>
      </c>
      <c r="R10" s="61">
        <f t="shared" si="15"/>
        <v>0.024296675191815886</v>
      </c>
      <c r="S10" s="61">
        <f t="shared" si="15"/>
        <v>0.057915057915058021</v>
      </c>
      <c r="T10" s="61">
        <f t="shared" si="15"/>
        <v>0.073979591836734748</v>
      </c>
      <c r="U10" s="61">
        <f t="shared" si="15"/>
        <v>0.026515151515151603</v>
      </c>
      <c r="V10" s="967">
        <f t="shared" si="16"/>
        <v>0.045614035087719218</v>
      </c>
      <c r="W10" s="61">
        <f t="shared" si="16"/>
        <v>-0.0087390761548065132</v>
      </c>
      <c r="X10" s="61">
        <f t="shared" si="16"/>
        <v>-0.024330900243308973</v>
      </c>
      <c r="Y10" s="61">
        <f t="shared" si="16"/>
        <v>-0.036817102137767233</v>
      </c>
      <c r="Z10" s="61">
        <f t="shared" si="16"/>
        <v>0</v>
      </c>
      <c r="AA10" s="967">
        <f t="shared" si="16"/>
        <v>-0.017693715680292876</v>
      </c>
      <c r="AB10" s="61">
        <f t="shared" si="16"/>
        <v>0.054156171284634791</v>
      </c>
      <c r="AC10" s="61">
        <f t="shared" si="16"/>
        <v>0.074812967581047385</v>
      </c>
      <c r="AD10" s="61">
        <f t="shared" si="16"/>
        <v>0.072749691738594358</v>
      </c>
      <c r="AE10" s="61">
        <f t="shared" si="16"/>
        <v>0.073800738007380184</v>
      </c>
      <c r="AF10" s="967">
        <f t="shared" si="17"/>
        <v>0.068944099378881907</v>
      </c>
      <c r="AG10" s="61">
        <f t="shared" si="17"/>
        <v>0.04898446833930703</v>
      </c>
      <c r="AH10" s="61">
        <f t="shared" si="17"/>
        <v>0.018561484918793614</v>
      </c>
      <c r="AI10" s="61">
        <f t="shared" si="17"/>
        <v>0.075862068965517171</v>
      </c>
      <c r="AJ10" s="61">
        <f t="shared" si="17"/>
        <v>0.014891179839633395</v>
      </c>
      <c r="AK10" s="967">
        <f t="shared" si="17"/>
        <v>0.039511911679256162</v>
      </c>
      <c r="AL10" s="61">
        <f t="shared" si="17"/>
        <v>0.029612756264236983</v>
      </c>
      <c r="AM10" s="61">
        <f t="shared" si="17"/>
        <v>-0.0091116173120728838</v>
      </c>
      <c r="AN10" s="61">
        <f t="shared" si="17"/>
        <v>-0.042735042735042694</v>
      </c>
      <c r="AO10" s="61">
        <f t="shared" si="17"/>
        <v>0.092550790067720046</v>
      </c>
      <c r="AP10" s="967">
        <f t="shared" si="17"/>
        <v>0.016769144773616462</v>
      </c>
      <c r="AQ10" s="61">
        <f t="shared" si="17"/>
        <v>0.023230088495575174</v>
      </c>
      <c r="AR10" s="61">
        <f t="shared" si="18"/>
        <v>0.14137931034482754</v>
      </c>
      <c r="AS10" s="61">
        <f t="shared" si="18"/>
        <v>0.10602678571428581</v>
      </c>
      <c r="AT10" s="61">
        <f t="shared" si="18"/>
        <v>-0.060950413223140543</v>
      </c>
      <c r="AU10" s="967">
        <f t="shared" si="18"/>
        <v>0.049477735019241242</v>
      </c>
      <c r="AV10" s="61">
        <f t="shared" si="19"/>
        <v>-0.023783783783783763</v>
      </c>
      <c r="AW10" s="61">
        <f t="shared" si="19"/>
        <v>-0.056394763343403875</v>
      </c>
      <c r="AX10" s="61">
        <f t="shared" si="19"/>
        <v>-0.071644803229061527</v>
      </c>
      <c r="AY10" s="61">
        <f t="shared" si="20"/>
        <v>-0.014301430143014326</v>
      </c>
      <c r="AZ10" s="967">
        <f t="shared" si="20"/>
        <v>-0.04243059193294918</v>
      </c>
      <c r="BA10" s="61">
        <f t="shared" si="21"/>
        <v>0.044296788482834915</v>
      </c>
      <c r="BB10" s="61">
        <f t="shared" si="21"/>
        <v>0.066168623265741688</v>
      </c>
      <c r="BC10" s="61">
        <f t="shared" si="21"/>
        <v>0.091304347826086873</v>
      </c>
      <c r="BD10" s="61">
        <f t="shared" si="22"/>
        <v>-0.034598214285714302</v>
      </c>
      <c r="BE10" s="967">
        <f t="shared" si="22"/>
        <v>0.042396061269146523</v>
      </c>
      <c r="BF10" s="61">
        <f t="shared" si="23"/>
        <v>0.060445387062566303</v>
      </c>
      <c r="BG10" s="61">
        <f t="shared" si="23"/>
        <v>0.096096096096096151</v>
      </c>
      <c r="BH10" s="735">
        <f t="shared" si="23"/>
        <v>0.0019920318725099584</v>
      </c>
      <c r="BI10" s="402">
        <f t="shared" si="22"/>
        <v>0.40221146530212604</v>
      </c>
      <c r="BJ10" s="966">
        <f t="shared" si="24"/>
        <v>0.13196350498198361</v>
      </c>
      <c r="BK10" s="402">
        <f t="shared" si="25"/>
        <v>-0.1976590830136985</v>
      </c>
      <c r="BL10" s="402">
        <f t="shared" si="25"/>
        <v>-0.28070859973728646</v>
      </c>
      <c r="BM10" s="402">
        <f t="shared" si="25"/>
        <v>-0.21862750979057166</v>
      </c>
      <c r="BN10" s="402">
        <f t="shared" si="25"/>
        <v>-0.30766365137001839</v>
      </c>
      <c r="BO10" s="966">
        <f t="shared" si="25"/>
        <v>-0.2545585672607702</v>
      </c>
      <c r="BP10" s="966">
        <f t="shared" si="26"/>
        <v>0.013902992685063564</v>
      </c>
      <c r="BQ10" s="966">
        <f t="shared" si="26"/>
        <v>0.018509921562460452</v>
      </c>
      <c r="BR10" s="966">
        <f t="shared" si="26"/>
        <v>0.018820005767374637</v>
      </c>
      <c r="BS10" s="91"/>
    </row>
    <row r="11" spans="1:71" s="41" customFormat="1" ht="15">
      <c r="A11" s="308" t="s">
        <v>16</v>
      </c>
      <c r="B11" s="484"/>
      <c r="C11" s="968"/>
      <c r="D11" s="969">
        <f>D205/C205-1</f>
        <v>0.13575106825901173</v>
      </c>
      <c r="E11" s="969">
        <f>E205/D205-1</f>
        <v>0.069409608334941142</v>
      </c>
      <c r="F11" s="969">
        <f>F205/E205-1</f>
        <v>0.14401695909070411</v>
      </c>
      <c r="G11" s="969">
        <f>G205/F205-1</f>
        <v>-0.056181990222362366</v>
      </c>
      <c r="H11" s="485"/>
      <c r="I11" s="485"/>
      <c r="J11" s="485"/>
      <c r="K11" s="485"/>
      <c r="L11" s="969">
        <f t="shared" si="27" ref="L11:AQ11">L205/G205-1</f>
        <v>-0.050586908392163399</v>
      </c>
      <c r="M11" s="309">
        <f t="shared" si="27"/>
        <v>-0.073404255319148959</v>
      </c>
      <c r="N11" s="309">
        <f t="shared" si="27"/>
        <v>-0.094381637547105157</v>
      </c>
      <c r="O11" s="309">
        <f t="shared" si="27"/>
        <v>-0.12133891213389125</v>
      </c>
      <c r="P11" s="309">
        <f t="shared" si="27"/>
        <v>-0.035364526659412365</v>
      </c>
      <c r="Q11" s="969">
        <f t="shared" si="27"/>
        <v>-0.081661386835621297</v>
      </c>
      <c r="R11" s="309">
        <f t="shared" si="27"/>
        <v>0.043053960964408722</v>
      </c>
      <c r="S11" s="309">
        <f t="shared" si="27"/>
        <v>0.02837147720824662</v>
      </c>
      <c r="T11" s="309">
        <f t="shared" si="27"/>
        <v>0.13412698412698409</v>
      </c>
      <c r="U11" s="309">
        <f t="shared" si="27"/>
        <v>0.11957134799774383</v>
      </c>
      <c r="V11" s="969">
        <f t="shared" si="27"/>
        <v>0.080825986968187102</v>
      </c>
      <c r="W11" s="309">
        <f t="shared" si="27"/>
        <v>-0.026050266006237388</v>
      </c>
      <c r="X11" s="309">
        <f t="shared" si="27"/>
        <v>-0.0016553246275519129</v>
      </c>
      <c r="Y11" s="309">
        <f t="shared" si="27"/>
        <v>-0.036738978306508074</v>
      </c>
      <c r="Z11" s="309">
        <f t="shared" si="27"/>
        <v>-0.089168765743073086</v>
      </c>
      <c r="AA11" s="969">
        <f t="shared" si="27"/>
        <v>-0.039540759785451463</v>
      </c>
      <c r="AB11" s="309">
        <f t="shared" si="27"/>
        <v>0.029195705405914429</v>
      </c>
      <c r="AC11" s="309">
        <f t="shared" si="27"/>
        <v>0.029661016949152463</v>
      </c>
      <c r="AD11" s="309">
        <f t="shared" si="27"/>
        <v>0.012895023610606682</v>
      </c>
      <c r="AE11" s="309">
        <f t="shared" si="27"/>
        <v>-0.054572271386430726</v>
      </c>
      <c r="AF11" s="969">
        <f t="shared" si="27"/>
        <v>0.0041999353856094768</v>
      </c>
      <c r="AG11" s="309">
        <f t="shared" si="27"/>
        <v>0.035322108345534398</v>
      </c>
      <c r="AH11" s="309">
        <f t="shared" si="27"/>
        <v>-0.013955984970477675</v>
      </c>
      <c r="AI11" s="309">
        <f t="shared" si="27"/>
        <v>-0.0073516227362381281</v>
      </c>
      <c r="AJ11" s="309">
        <f t="shared" si="27"/>
        <v>0.092628705148205981</v>
      </c>
      <c r="AK11" s="969">
        <f t="shared" si="27"/>
        <v>0.025232098538468639</v>
      </c>
      <c r="AL11" s="309">
        <f t="shared" si="27"/>
        <v>-0.087502209651758922</v>
      </c>
      <c r="AM11" s="309">
        <f t="shared" si="27"/>
        <v>-0.018871348212665562</v>
      </c>
      <c r="AN11" s="309">
        <f t="shared" si="27"/>
        <v>0.023302023121387183</v>
      </c>
      <c r="AO11" s="309">
        <f t="shared" si="27"/>
        <v>0.055327503123326682</v>
      </c>
      <c r="AP11" s="969">
        <f t="shared" si="27"/>
        <v>-0.0071726363921639225</v>
      </c>
      <c r="AQ11" s="309">
        <f t="shared" si="27"/>
        <v>0.13696241766757078</v>
      </c>
      <c r="AR11" s="309">
        <f t="shared" si="28" ref="AR11:AW11">AR205/AM205-1</f>
        <v>0.029036434251895615</v>
      </c>
      <c r="AS11" s="309">
        <f t="shared" si="28"/>
        <v>-0.075551632833186222</v>
      </c>
      <c r="AT11" s="309">
        <f t="shared" si="28"/>
        <v>-0.080669710806697159</v>
      </c>
      <c r="AU11" s="969">
        <f t="shared" si="28"/>
        <v>-0.0018512665372285575</v>
      </c>
      <c r="AV11" s="309">
        <f t="shared" si="28"/>
        <v>-0.11858919747827568</v>
      </c>
      <c r="AW11" s="309">
        <f t="shared" si="28"/>
        <v>-0.04475197699496769</v>
      </c>
      <c r="AX11" s="309">
        <f t="shared" si="29" ref="AX11:BJ11">AX205/AS205-1</f>
        <v>-0.10177582585449685</v>
      </c>
      <c r="AY11" s="309">
        <f t="shared" si="29"/>
        <v>-0.27373068432671077</v>
      </c>
      <c r="AZ11" s="969">
        <f t="shared" si="29"/>
        <v>-0.13417171808558759</v>
      </c>
      <c r="BA11" s="309">
        <f t="shared" si="30" ref="BA11:BI11">BA205/AV205-1</f>
        <v>-0.072105161415039642</v>
      </c>
      <c r="BB11" s="309">
        <f t="shared" si="30"/>
        <v>-0.026904985888993371</v>
      </c>
      <c r="BC11" s="309">
        <f t="shared" si="30"/>
        <v>0.052295918367347038</v>
      </c>
      <c r="BD11" s="309">
        <f t="shared" si="30"/>
        <v>-0.042806484295845992</v>
      </c>
      <c r="BE11" s="969">
        <f t="shared" si="30"/>
        <v>-0.022936259143155668</v>
      </c>
      <c r="BF11" s="309">
        <f>BF205/BA205-1</f>
        <v>0.13250000000000006</v>
      </c>
      <c r="BG11" s="309">
        <f>BG205/BB205-1</f>
        <v>-0.0065738592420726549</v>
      </c>
      <c r="BH11" s="736">
        <f>BH205/BC205-1</f>
        <v>-0.40424242424242429</v>
      </c>
      <c r="BI11" s="485">
        <f t="shared" si="30"/>
        <v>0.31331911021072756</v>
      </c>
      <c r="BJ11" s="968">
        <f t="shared" si="29"/>
        <v>-0.011494951206548532</v>
      </c>
      <c r="BK11" s="485">
        <f>BK205/BF205-1</f>
        <v>-0.24633629194512485</v>
      </c>
      <c r="BL11" s="485">
        <f>BL205/BG205-1</f>
        <v>-0.20804805697009121</v>
      </c>
      <c r="BM11" s="485">
        <f>BM205/BH205-1</f>
        <v>0.45971709906771285</v>
      </c>
      <c r="BN11" s="485">
        <f>BN205/BI205-1</f>
        <v>-0.023975987861868941</v>
      </c>
      <c r="BO11" s="968">
        <f>BO205/BJ205-1</f>
        <v>-0.063362588219512794</v>
      </c>
      <c r="BP11" s="968">
        <f>BP205/BO205-1</f>
        <v>0.0088266809883990049</v>
      </c>
      <c r="BQ11" s="968">
        <f>BQ205/BP205-1</f>
        <v>0.0096984508144999371</v>
      </c>
      <c r="BR11" s="968">
        <f>BR205/BQ205-1</f>
        <v>0.0097804795627067787</v>
      </c>
      <c r="BS11" s="158"/>
    </row>
    <row r="12" spans="1:71" s="42" customFormat="1" ht="15">
      <c r="A12" s="398"/>
      <c r="B12" s="393"/>
      <c r="C12" s="964"/>
      <c r="D12" s="964"/>
      <c r="E12" s="964"/>
      <c r="F12" s="964"/>
      <c r="G12" s="964"/>
      <c r="H12" s="395"/>
      <c r="I12" s="395"/>
      <c r="J12" s="395"/>
      <c r="K12" s="395"/>
      <c r="L12" s="964"/>
      <c r="M12" s="395"/>
      <c r="N12" s="395"/>
      <c r="O12" s="395"/>
      <c r="P12" s="395"/>
      <c r="Q12" s="964"/>
      <c r="R12" s="395"/>
      <c r="S12" s="395"/>
      <c r="T12" s="395"/>
      <c r="U12" s="395"/>
      <c r="V12" s="964"/>
      <c r="W12" s="395"/>
      <c r="X12" s="395"/>
      <c r="Y12" s="395"/>
      <c r="Z12" s="395"/>
      <c r="AA12" s="964"/>
      <c r="AB12" s="395"/>
      <c r="AC12" s="395"/>
      <c r="AD12" s="395"/>
      <c r="AE12" s="395"/>
      <c r="AF12" s="964"/>
      <c r="AG12" s="395"/>
      <c r="AH12" s="395"/>
      <c r="AI12" s="395"/>
      <c r="AJ12" s="395"/>
      <c r="AK12" s="964"/>
      <c r="AL12" s="395"/>
      <c r="AM12" s="395"/>
      <c r="AN12" s="395"/>
      <c r="AO12" s="395"/>
      <c r="AP12" s="964"/>
      <c r="AQ12" s="395"/>
      <c r="AR12" s="395"/>
      <c r="AS12" s="395"/>
      <c r="AT12" s="395"/>
      <c r="AU12" s="964"/>
      <c r="AV12" s="395"/>
      <c r="AW12" s="395"/>
      <c r="AX12" s="395"/>
      <c r="AY12" s="395"/>
      <c r="AZ12" s="964"/>
      <c r="BA12" s="395"/>
      <c r="BB12" s="395"/>
      <c r="BC12" s="395"/>
      <c r="BD12" s="395"/>
      <c r="BE12" s="964"/>
      <c r="BF12" s="395"/>
      <c r="BG12" s="395"/>
      <c r="BH12" s="737"/>
      <c r="BI12" s="395"/>
      <c r="BJ12" s="964"/>
      <c r="BK12" s="395"/>
      <c r="BL12" s="395"/>
      <c r="BM12" s="395"/>
      <c r="BN12" s="395"/>
      <c r="BO12" s="964"/>
      <c r="BP12" s="964"/>
      <c r="BQ12" s="964"/>
      <c r="BR12" s="964"/>
      <c r="BS12" s="91"/>
    </row>
    <row r="13" spans="1:71" s="43" customFormat="1" ht="15">
      <c r="A13" s="812" t="s">
        <v>17</v>
      </c>
      <c r="B13" s="812"/>
      <c r="C13" s="828"/>
      <c r="D13" s="828"/>
      <c r="E13" s="828"/>
      <c r="F13" s="828"/>
      <c r="G13" s="828"/>
      <c r="H13" s="828"/>
      <c r="I13" s="828"/>
      <c r="J13" s="828"/>
      <c r="K13" s="828"/>
      <c r="L13" s="828"/>
      <c r="M13" s="828"/>
      <c r="N13" s="828"/>
      <c r="O13" s="828"/>
      <c r="P13" s="828"/>
      <c r="Q13" s="828"/>
      <c r="R13" s="828"/>
      <c r="S13" s="828"/>
      <c r="T13" s="828"/>
      <c r="U13" s="828"/>
      <c r="V13" s="828"/>
      <c r="W13" s="828"/>
      <c r="X13" s="828"/>
      <c r="Y13" s="828"/>
      <c r="Z13" s="828"/>
      <c r="AA13" s="828"/>
      <c r="AB13" s="828"/>
      <c r="AC13" s="828"/>
      <c r="AD13" s="828"/>
      <c r="AE13" s="828"/>
      <c r="AF13" s="828"/>
      <c r="AG13" s="828"/>
      <c r="AH13" s="828"/>
      <c r="AI13" s="828"/>
      <c r="AJ13" s="828"/>
      <c r="AK13" s="828"/>
      <c r="AL13" s="828"/>
      <c r="AM13" s="828"/>
      <c r="AN13" s="828"/>
      <c r="AO13" s="828"/>
      <c r="AP13" s="828"/>
      <c r="AQ13" s="828"/>
      <c r="AR13" s="828"/>
      <c r="AS13" s="828"/>
      <c r="AT13" s="828"/>
      <c r="AU13" s="828"/>
      <c r="AV13" s="828"/>
      <c r="AW13" s="828"/>
      <c r="AX13" s="828"/>
      <c r="AY13" s="828"/>
      <c r="AZ13" s="828"/>
      <c r="BA13" s="828"/>
      <c r="BB13" s="828"/>
      <c r="BC13" s="828"/>
      <c r="BD13" s="828"/>
      <c r="BE13" s="828"/>
      <c r="BF13" s="828"/>
      <c r="BG13" s="828"/>
      <c r="BH13" s="829"/>
      <c r="BI13" s="828"/>
      <c r="BJ13" s="828"/>
      <c r="BK13" s="828"/>
      <c r="BL13" s="828"/>
      <c r="BM13" s="828"/>
      <c r="BN13" s="828"/>
      <c r="BO13" s="828"/>
      <c r="BP13" s="828"/>
      <c r="BQ13" s="828"/>
      <c r="BR13" s="828"/>
      <c r="BS13" s="475"/>
    </row>
    <row r="14" spans="1:71" s="224" customFormat="1" ht="15">
      <c r="A14" s="362" t="s">
        <v>368</v>
      </c>
      <c r="B14" s="389"/>
      <c r="C14" s="970">
        <f t="shared" si="31" ref="C14:AM14">C81</f>
        <v>12178</v>
      </c>
      <c r="D14" s="970">
        <f t="shared" si="31"/>
        <v>13487</v>
      </c>
      <c r="E14" s="970">
        <f t="shared" si="31"/>
        <v>15619</v>
      </c>
      <c r="F14" s="970">
        <f t="shared" si="31"/>
        <v>17151</v>
      </c>
      <c r="G14" s="970">
        <f t="shared" si="31"/>
        <v>14982</v>
      </c>
      <c r="H14" s="229">
        <f t="shared" si="31"/>
        <v>3560</v>
      </c>
      <c r="I14" s="229">
        <f t="shared" si="31"/>
        <v>3578</v>
      </c>
      <c r="J14" s="229">
        <f t="shared" si="31"/>
        <v>3534</v>
      </c>
      <c r="K14" s="229">
        <f t="shared" si="31"/>
        <v>3189</v>
      </c>
      <c r="L14" s="970">
        <f t="shared" si="31"/>
        <v>13861</v>
      </c>
      <c r="M14" s="229">
        <f t="shared" si="31"/>
        <v>3078</v>
      </c>
      <c r="N14" s="229">
        <f t="shared" si="31"/>
        <v>2978</v>
      </c>
      <c r="O14" s="229">
        <f t="shared" si="31"/>
        <v>2981</v>
      </c>
      <c r="P14" s="229">
        <f t="shared" si="31"/>
        <v>3009</v>
      </c>
      <c r="Q14" s="970">
        <f t="shared" si="31"/>
        <v>12046</v>
      </c>
      <c r="R14" s="229">
        <f t="shared" si="31"/>
        <v>3179</v>
      </c>
      <c r="S14" s="229">
        <f t="shared" si="31"/>
        <v>3402</v>
      </c>
      <c r="T14" s="229">
        <f t="shared" si="31"/>
        <v>3596</v>
      </c>
      <c r="U14" s="229">
        <f t="shared" si="31"/>
        <v>3360</v>
      </c>
      <c r="V14" s="970">
        <f t="shared" si="31"/>
        <v>13537</v>
      </c>
      <c r="W14" s="229">
        <f t="shared" si="31"/>
        <v>3194</v>
      </c>
      <c r="X14" s="229">
        <f t="shared" si="31"/>
        <v>3222</v>
      </c>
      <c r="Y14" s="229">
        <f t="shared" si="31"/>
        <v>3200</v>
      </c>
      <c r="Z14" s="229">
        <f t="shared" si="31"/>
        <v>3136</v>
      </c>
      <c r="AA14" s="970">
        <f t="shared" si="31"/>
        <v>12752</v>
      </c>
      <c r="AB14" s="229">
        <f t="shared" si="31"/>
        <v>3263</v>
      </c>
      <c r="AC14" s="229">
        <f t="shared" si="31"/>
        <v>3227</v>
      </c>
      <c r="AD14" s="229">
        <f t="shared" si="31"/>
        <v>3159</v>
      </c>
      <c r="AE14" s="229">
        <f t="shared" si="31"/>
        <v>3113</v>
      </c>
      <c r="AF14" s="970">
        <f t="shared" si="31"/>
        <v>12762</v>
      </c>
      <c r="AG14" s="229">
        <f t="shared" si="31"/>
        <v>3180</v>
      </c>
      <c r="AH14" s="229">
        <f t="shared" si="31"/>
        <v>3172</v>
      </c>
      <c r="AI14" s="229">
        <f t="shared" si="31"/>
        <v>3241</v>
      </c>
      <c r="AJ14" s="229">
        <f t="shared" si="31"/>
        <v>3179</v>
      </c>
      <c r="AK14" s="970">
        <f t="shared" si="31"/>
        <v>12772</v>
      </c>
      <c r="AL14" s="229">
        <f t="shared" si="31"/>
        <v>3150</v>
      </c>
      <c r="AM14" s="229">
        <f t="shared" si="31"/>
        <v>3158</v>
      </c>
      <c r="AN14" s="229">
        <f t="shared" si="32" ref="AN14:AQ14">AN81</f>
        <v>3168</v>
      </c>
      <c r="AO14" s="229">
        <f t="shared" si="32"/>
        <v>3194</v>
      </c>
      <c r="AP14" s="970">
        <f t="shared" si="32"/>
        <v>12670</v>
      </c>
      <c r="AQ14" s="229">
        <f t="shared" si="32"/>
        <v>3123</v>
      </c>
      <c r="AR14" s="229">
        <f t="shared" si="33" ref="AR14:AU14">AR81</f>
        <v>2987</v>
      </c>
      <c r="AS14" s="229">
        <f t="shared" si="33"/>
        <v>2934</v>
      </c>
      <c r="AT14" s="229">
        <f t="shared" si="33"/>
        <v>2808</v>
      </c>
      <c r="AU14" s="970">
        <f t="shared" si="33"/>
        <v>11853</v>
      </c>
      <c r="AV14" s="229">
        <f t="shared" si="34" ref="AV14:AZ14">AV81</f>
        <v>2625</v>
      </c>
      <c r="AW14" s="229">
        <f t="shared" si="34"/>
        <v>2334</v>
      </c>
      <c r="AX14" s="229">
        <f t="shared" si="34"/>
        <v>2125</v>
      </c>
      <c r="AY14" s="229">
        <f t="shared" si="34"/>
        <v>2102</v>
      </c>
      <c r="AZ14" s="970">
        <f t="shared" si="34"/>
        <v>9186</v>
      </c>
      <c r="BA14" s="229">
        <f t="shared" si="35" ref="BA14:BI14">BA81</f>
        <v>2170</v>
      </c>
      <c r="BB14" s="229">
        <f t="shared" si="35"/>
        <v>2064</v>
      </c>
      <c r="BC14" s="229">
        <f t="shared" si="35"/>
        <v>1973</v>
      </c>
      <c r="BD14" s="229">
        <f t="shared" si="35"/>
        <v>1840</v>
      </c>
      <c r="BE14" s="970">
        <f t="shared" si="35"/>
        <v>8047</v>
      </c>
      <c r="BF14" s="229">
        <f>BF81</f>
        <v>1816</v>
      </c>
      <c r="BG14" s="229">
        <f>BG81</f>
        <v>1715</v>
      </c>
      <c r="BH14" s="738">
        <f>BH81</f>
        <v>1709</v>
      </c>
      <c r="BI14" s="176">
        <f t="shared" si="35"/>
        <v>2208</v>
      </c>
      <c r="BJ14" s="971">
        <f>SUM(BF14,BG14,BH14,BI14)</f>
        <v>7448</v>
      </c>
      <c r="BK14" s="176">
        <f>BK81</f>
        <v>1725.1999999999998</v>
      </c>
      <c r="BL14" s="176">
        <f>BL81</f>
        <v>1732.15</v>
      </c>
      <c r="BM14" s="176">
        <f>BM81</f>
        <v>1965.35</v>
      </c>
      <c r="BN14" s="176">
        <f>BN81</f>
        <v>2450.88</v>
      </c>
      <c r="BO14" s="971">
        <f>SUM(BK14,BL14,BM14,BN14)</f>
        <v>7873.58</v>
      </c>
      <c r="BP14" s="971">
        <f>BP81</f>
        <v>7952.3158000000003</v>
      </c>
      <c r="BQ14" s="971">
        <f>BQ81</f>
        <v>8031.8389580000003</v>
      </c>
      <c r="BR14" s="971">
        <f>BR81</f>
        <v>8112.1573475800005</v>
      </c>
      <c r="BS14" s="229"/>
    </row>
    <row r="15" spans="1:71" s="224" customFormat="1" ht="15">
      <c r="A15" s="362" t="s">
        <v>369</v>
      </c>
      <c r="B15" s="389"/>
      <c r="C15" s="970">
        <f t="shared" si="36" ref="C15:AM15">C111</f>
        <v>4444</v>
      </c>
      <c r="D15" s="970">
        <f t="shared" si="36"/>
        <v>4586</v>
      </c>
      <c r="E15" s="970">
        <f t="shared" si="36"/>
        <v>4743</v>
      </c>
      <c r="F15" s="970">
        <f t="shared" si="36"/>
        <v>4996</v>
      </c>
      <c r="G15" s="970">
        <f t="shared" si="36"/>
        <v>5153</v>
      </c>
      <c r="H15" s="229">
        <f t="shared" si="36"/>
        <v>1294</v>
      </c>
      <c r="I15" s="229">
        <f t="shared" si="36"/>
        <v>1311</v>
      </c>
      <c r="J15" s="229">
        <f t="shared" si="36"/>
        <v>1306</v>
      </c>
      <c r="K15" s="229">
        <f t="shared" si="36"/>
        <v>1300</v>
      </c>
      <c r="L15" s="970">
        <f t="shared" si="36"/>
        <v>5211</v>
      </c>
      <c r="M15" s="229">
        <f t="shared" si="36"/>
        <v>1339</v>
      </c>
      <c r="N15" s="229">
        <f t="shared" si="36"/>
        <v>1331</v>
      </c>
      <c r="O15" s="229">
        <f t="shared" si="36"/>
        <v>1346</v>
      </c>
      <c r="P15" s="229">
        <f t="shared" si="36"/>
        <v>1331</v>
      </c>
      <c r="Q15" s="970">
        <f t="shared" si="36"/>
        <v>5347</v>
      </c>
      <c r="R15" s="229">
        <f t="shared" si="36"/>
        <v>1367</v>
      </c>
      <c r="S15" s="229">
        <f t="shared" si="36"/>
        <v>1362</v>
      </c>
      <c r="T15" s="229">
        <f t="shared" si="36"/>
        <v>1365</v>
      </c>
      <c r="U15" s="229">
        <f t="shared" si="36"/>
        <v>1360</v>
      </c>
      <c r="V15" s="970">
        <f t="shared" si="36"/>
        <v>5454</v>
      </c>
      <c r="W15" s="229">
        <f t="shared" si="36"/>
        <v>1390</v>
      </c>
      <c r="X15" s="229">
        <f t="shared" si="36"/>
        <v>1388</v>
      </c>
      <c r="Y15" s="229">
        <f t="shared" si="36"/>
        <v>1393</v>
      </c>
      <c r="Z15" s="229">
        <f t="shared" si="36"/>
        <v>1392</v>
      </c>
      <c r="AA15" s="970">
        <f t="shared" si="36"/>
        <v>5563</v>
      </c>
      <c r="AB15" s="229">
        <f t="shared" si="36"/>
        <v>1427</v>
      </c>
      <c r="AC15" s="229">
        <f t="shared" si="36"/>
        <v>1426</v>
      </c>
      <c r="AD15" s="229">
        <f t="shared" si="36"/>
        <v>1426</v>
      </c>
      <c r="AE15" s="229">
        <f t="shared" si="36"/>
        <v>1429</v>
      </c>
      <c r="AF15" s="970">
        <f t="shared" si="36"/>
        <v>5708</v>
      </c>
      <c r="AG15" s="229">
        <f t="shared" si="36"/>
        <v>1461</v>
      </c>
      <c r="AH15" s="229">
        <f t="shared" si="36"/>
        <v>1459</v>
      </c>
      <c r="AI15" s="229">
        <f t="shared" si="36"/>
        <v>1445</v>
      </c>
      <c r="AJ15" s="229">
        <f t="shared" si="36"/>
        <v>1443</v>
      </c>
      <c r="AK15" s="970">
        <f t="shared" si="36"/>
        <v>5808</v>
      </c>
      <c r="AL15" s="229">
        <f t="shared" si="36"/>
        <v>1483</v>
      </c>
      <c r="AM15" s="229">
        <f t="shared" si="36"/>
        <v>1458</v>
      </c>
      <c r="AN15" s="229">
        <f t="shared" si="37" ref="AN15:AQ15">AN111</f>
        <v>1407</v>
      </c>
      <c r="AO15" s="229">
        <f t="shared" si="37"/>
        <v>1410</v>
      </c>
      <c r="AP15" s="970">
        <f t="shared" si="37"/>
        <v>5758</v>
      </c>
      <c r="AQ15" s="229">
        <f t="shared" si="37"/>
        <v>1422</v>
      </c>
      <c r="AR15" s="229">
        <f t="shared" si="38" ref="AR15:AU15">AR111</f>
        <v>1408</v>
      </c>
      <c r="AS15" s="229">
        <f t="shared" si="38"/>
        <v>1393</v>
      </c>
      <c r="AT15" s="229">
        <f t="shared" si="38"/>
        <v>1391</v>
      </c>
      <c r="AU15" s="970">
        <f t="shared" si="38"/>
        <v>5614</v>
      </c>
      <c r="AV15" s="229">
        <f t="shared" si="39" ref="AV15:AZ15">AV111</f>
        <v>1413</v>
      </c>
      <c r="AW15" s="229">
        <f t="shared" si="39"/>
        <v>1394</v>
      </c>
      <c r="AX15" s="229">
        <f t="shared" si="39"/>
        <v>1375</v>
      </c>
      <c r="AY15" s="229">
        <f t="shared" si="39"/>
        <v>1388</v>
      </c>
      <c r="AZ15" s="970">
        <f t="shared" si="39"/>
        <v>5570</v>
      </c>
      <c r="BA15" s="229">
        <f t="shared" si="40" ref="BA15:BI15">BA111</f>
        <v>1428</v>
      </c>
      <c r="BB15" s="229">
        <f t="shared" si="40"/>
        <v>1425</v>
      </c>
      <c r="BC15" s="229">
        <f t="shared" si="40"/>
        <v>1419</v>
      </c>
      <c r="BD15" s="229">
        <f t="shared" si="40"/>
        <v>1403</v>
      </c>
      <c r="BE15" s="970">
        <f t="shared" si="40"/>
        <v>5675</v>
      </c>
      <c r="BF15" s="229">
        <f>BF111</f>
        <v>1475</v>
      </c>
      <c r="BG15" s="229">
        <f>BG111</f>
        <v>1455</v>
      </c>
      <c r="BH15" s="738">
        <f>BH111</f>
        <v>1459</v>
      </c>
      <c r="BI15" s="176">
        <f t="shared" si="40"/>
        <v>1459.12</v>
      </c>
      <c r="BJ15" s="971">
        <f>SUM(BF15,BG15,BH15,BI15)</f>
        <v>5848.12</v>
      </c>
      <c r="BK15" s="176">
        <f>BK111</f>
        <v>1482.3749999999998</v>
      </c>
      <c r="BL15" s="176">
        <f>BL111</f>
        <v>1462.275</v>
      </c>
      <c r="BM15" s="176">
        <f>BM111</f>
        <v>1466.2949999999998</v>
      </c>
      <c r="BN15" s="176">
        <f>BN111</f>
        <v>1466.4156</v>
      </c>
      <c r="BO15" s="971">
        <f>SUM(BK15,BL15,BM15,BN15)</f>
        <v>5877.3606</v>
      </c>
      <c r="BP15" s="971">
        <f>BP111</f>
        <v>5906.7474029999994</v>
      </c>
      <c r="BQ15" s="971">
        <f>BQ111</f>
        <v>5936.2811400149985</v>
      </c>
      <c r="BR15" s="971">
        <f>BR111</f>
        <v>5965.9625457150732</v>
      </c>
      <c r="BS15" s="229"/>
    </row>
    <row r="16" spans="1:71" s="224" customFormat="1" ht="15">
      <c r="A16" s="364" t="s">
        <v>370</v>
      </c>
      <c r="B16" s="486"/>
      <c r="C16" s="972">
        <f t="shared" si="41" ref="C16:AM16">C139</f>
        <v>0</v>
      </c>
      <c r="D16" s="972">
        <f t="shared" si="41"/>
        <v>0</v>
      </c>
      <c r="E16" s="972">
        <f t="shared" si="41"/>
        <v>0</v>
      </c>
      <c r="F16" s="972">
        <f t="shared" si="41"/>
        <v>0</v>
      </c>
      <c r="G16" s="972">
        <f t="shared" si="41"/>
        <v>0</v>
      </c>
      <c r="H16" s="310">
        <f t="shared" si="41"/>
        <v>0</v>
      </c>
      <c r="I16" s="310">
        <f t="shared" si="41"/>
        <v>0</v>
      </c>
      <c r="J16" s="310">
        <f t="shared" si="41"/>
        <v>0</v>
      </c>
      <c r="K16" s="310">
        <f t="shared" si="41"/>
        <v>0</v>
      </c>
      <c r="L16" s="972">
        <f t="shared" si="41"/>
        <v>0</v>
      </c>
      <c r="M16" s="310">
        <f t="shared" si="41"/>
        <v>0</v>
      </c>
      <c r="N16" s="310">
        <f t="shared" si="41"/>
        <v>0</v>
      </c>
      <c r="O16" s="310">
        <f t="shared" si="41"/>
        <v>0</v>
      </c>
      <c r="P16" s="310">
        <f t="shared" si="41"/>
        <v>0</v>
      </c>
      <c r="Q16" s="972">
        <f t="shared" si="41"/>
        <v>178</v>
      </c>
      <c r="R16" s="310">
        <f t="shared" si="41"/>
        <v>0</v>
      </c>
      <c r="S16" s="310">
        <f t="shared" si="41"/>
        <v>0</v>
      </c>
      <c r="T16" s="310">
        <f t="shared" si="41"/>
        <v>0</v>
      </c>
      <c r="U16" s="310">
        <f t="shared" si="41"/>
        <v>0</v>
      </c>
      <c r="V16" s="972">
        <f t="shared" si="41"/>
        <v>234</v>
      </c>
      <c r="W16" s="310">
        <f t="shared" si="41"/>
        <v>54</v>
      </c>
      <c r="X16" s="310">
        <f t="shared" si="41"/>
        <v>55</v>
      </c>
      <c r="Y16" s="310">
        <f t="shared" si="41"/>
        <v>54</v>
      </c>
      <c r="Z16" s="310">
        <f t="shared" si="41"/>
        <v>53</v>
      </c>
      <c r="AA16" s="972">
        <f t="shared" si="41"/>
        <v>216</v>
      </c>
      <c r="AB16" s="310">
        <f t="shared" si="41"/>
        <v>54</v>
      </c>
      <c r="AC16" s="310">
        <f t="shared" si="41"/>
        <v>53</v>
      </c>
      <c r="AD16" s="310">
        <f t="shared" si="41"/>
        <v>51</v>
      </c>
      <c r="AE16" s="310">
        <f t="shared" si="41"/>
        <v>50</v>
      </c>
      <c r="AF16" s="972">
        <f t="shared" si="41"/>
        <v>208</v>
      </c>
      <c r="AG16" s="310">
        <f t="shared" si="41"/>
        <v>50</v>
      </c>
      <c r="AH16" s="310">
        <f t="shared" si="41"/>
        <v>50</v>
      </c>
      <c r="AI16" s="310">
        <f t="shared" si="41"/>
        <v>51</v>
      </c>
      <c r="AJ16" s="310">
        <f t="shared" si="41"/>
        <v>49</v>
      </c>
      <c r="AK16" s="972">
        <f t="shared" si="41"/>
        <v>200</v>
      </c>
      <c r="AL16" s="310">
        <f t="shared" si="41"/>
        <v>49</v>
      </c>
      <c r="AM16" s="310">
        <f t="shared" si="41"/>
        <v>49</v>
      </c>
      <c r="AN16" s="310">
        <f t="shared" si="42" ref="AN16:AQ16">AN139</f>
        <v>49</v>
      </c>
      <c r="AO16" s="310">
        <f t="shared" si="42"/>
        <v>47</v>
      </c>
      <c r="AP16" s="972">
        <f t="shared" si="42"/>
        <v>194</v>
      </c>
      <c r="AQ16" s="310">
        <f t="shared" si="42"/>
        <v>48</v>
      </c>
      <c r="AR16" s="310">
        <f t="shared" si="43" ref="AR16:AU16">AR139</f>
        <v>45</v>
      </c>
      <c r="AS16" s="310">
        <f t="shared" si="43"/>
        <v>45</v>
      </c>
      <c r="AT16" s="310">
        <f t="shared" si="43"/>
        <v>42</v>
      </c>
      <c r="AU16" s="972">
        <f t="shared" si="43"/>
        <v>180</v>
      </c>
      <c r="AV16" s="310">
        <f t="shared" si="44" ref="AV16:AZ16">AV139</f>
        <v>41</v>
      </c>
      <c r="AW16" s="310">
        <f t="shared" si="44"/>
        <v>36</v>
      </c>
      <c r="AX16" s="310">
        <f t="shared" si="44"/>
        <v>35</v>
      </c>
      <c r="AY16" s="310">
        <f t="shared" si="44"/>
        <v>33</v>
      </c>
      <c r="AZ16" s="972">
        <f t="shared" si="44"/>
        <v>145</v>
      </c>
      <c r="BA16" s="310">
        <f t="shared" si="45" ref="BA16:BI16">BA139</f>
        <v>91</v>
      </c>
      <c r="BB16" s="310">
        <f t="shared" si="45"/>
        <v>84</v>
      </c>
      <c r="BC16" s="310">
        <f t="shared" si="45"/>
        <v>83</v>
      </c>
      <c r="BD16" s="310">
        <f t="shared" si="45"/>
        <v>142</v>
      </c>
      <c r="BE16" s="972">
        <f t="shared" si="45"/>
        <v>400</v>
      </c>
      <c r="BF16" s="310">
        <f>BF139</f>
        <v>165</v>
      </c>
      <c r="BG16" s="310">
        <f>BG139</f>
        <v>155</v>
      </c>
      <c r="BH16" s="739">
        <f>BH139</f>
        <v>160</v>
      </c>
      <c r="BI16" s="177">
        <f t="shared" si="45"/>
        <v>50</v>
      </c>
      <c r="BJ16" s="973">
        <f>SUM(BF16,BG16,BH16,BI16)</f>
        <v>530</v>
      </c>
      <c r="BK16" s="177">
        <f>BK139</f>
        <v>50</v>
      </c>
      <c r="BL16" s="177">
        <f>BL139</f>
        <v>50</v>
      </c>
      <c r="BM16" s="177">
        <f>BM139</f>
        <v>50</v>
      </c>
      <c r="BN16" s="177">
        <f>BN139</f>
        <v>50</v>
      </c>
      <c r="BO16" s="973">
        <f>SUM(BK16,BL16,BM16,BN16)</f>
        <v>200</v>
      </c>
      <c r="BP16" s="973">
        <f>BP139</f>
        <v>200</v>
      </c>
      <c r="BQ16" s="973">
        <f>BQ139</f>
        <v>200</v>
      </c>
      <c r="BR16" s="973">
        <f>BR139</f>
        <v>200</v>
      </c>
      <c r="BS16" s="229"/>
    </row>
    <row r="17" spans="1:71" s="224" customFormat="1" ht="15" hidden="1" outlineLevel="1">
      <c r="A17" s="407" t="s">
        <v>405</v>
      </c>
      <c r="B17" s="487"/>
      <c r="C17" s="974">
        <f t="shared" si="46" ref="C17:AN17">C18-C14-C15-C16</f>
        <v>-1</v>
      </c>
      <c r="D17" s="974">
        <f t="shared" si="46"/>
        <v>0</v>
      </c>
      <c r="E17" s="974">
        <f t="shared" si="46"/>
        <v>0</v>
      </c>
      <c r="F17" s="974">
        <f t="shared" si="46"/>
        <v>1</v>
      </c>
      <c r="G17" s="974">
        <f t="shared" si="46"/>
        <v>0</v>
      </c>
      <c r="H17" s="313">
        <f t="shared" si="46"/>
        <v>0</v>
      </c>
      <c r="I17" s="313">
        <f t="shared" si="46"/>
        <v>-1</v>
      </c>
      <c r="J17" s="313">
        <f t="shared" si="46"/>
        <v>1</v>
      </c>
      <c r="K17" s="313">
        <f t="shared" si="46"/>
        <v>0</v>
      </c>
      <c r="L17" s="974">
        <f t="shared" si="46"/>
        <v>0</v>
      </c>
      <c r="M17" s="313">
        <f t="shared" si="46"/>
        <v>15</v>
      </c>
      <c r="N17" s="313">
        <f t="shared" si="46"/>
        <v>55</v>
      </c>
      <c r="O17" s="313">
        <f t="shared" si="46"/>
        <v>53</v>
      </c>
      <c r="P17" s="313">
        <f t="shared" si="46"/>
        <v>54</v>
      </c>
      <c r="Q17" s="974">
        <f t="shared" si="46"/>
        <v>-1</v>
      </c>
      <c r="R17" s="313">
        <f t="shared" si="46"/>
        <v>56</v>
      </c>
      <c r="S17" s="313">
        <f t="shared" si="46"/>
        <v>59</v>
      </c>
      <c r="T17" s="313">
        <f t="shared" si="46"/>
        <v>61</v>
      </c>
      <c r="U17" s="313">
        <f t="shared" si="46"/>
        <v>58</v>
      </c>
      <c r="V17" s="974">
        <f t="shared" si="46"/>
        <v>0</v>
      </c>
      <c r="W17" s="313">
        <f t="shared" si="46"/>
        <v>0</v>
      </c>
      <c r="X17" s="313">
        <f t="shared" si="46"/>
        <v>0</v>
      </c>
      <c r="Y17" s="313">
        <f t="shared" si="46"/>
        <v>1</v>
      </c>
      <c r="Z17" s="313">
        <f t="shared" si="46"/>
        <v>-1</v>
      </c>
      <c r="AA17" s="974">
        <f t="shared" si="46"/>
        <v>0</v>
      </c>
      <c r="AB17" s="313">
        <f t="shared" si="46"/>
        <v>1</v>
      </c>
      <c r="AC17" s="313">
        <f t="shared" si="46"/>
        <v>0</v>
      </c>
      <c r="AD17" s="313">
        <f t="shared" si="46"/>
        <v>0</v>
      </c>
      <c r="AE17" s="313">
        <f t="shared" si="46"/>
        <v>-2</v>
      </c>
      <c r="AF17" s="974">
        <f t="shared" si="46"/>
        <v>-1</v>
      </c>
      <c r="AG17" s="313">
        <f t="shared" si="46"/>
        <v>0</v>
      </c>
      <c r="AH17" s="313">
        <f t="shared" si="46"/>
        <v>0</v>
      </c>
      <c r="AI17" s="313">
        <f t="shared" si="46"/>
        <v>-1</v>
      </c>
      <c r="AJ17" s="313">
        <f t="shared" si="46"/>
        <v>1</v>
      </c>
      <c r="AK17" s="974">
        <f t="shared" si="46"/>
        <v>0</v>
      </c>
      <c r="AL17" s="313">
        <f t="shared" si="46"/>
        <v>-1</v>
      </c>
      <c r="AM17" s="313">
        <f t="shared" si="46"/>
        <v>-1</v>
      </c>
      <c r="AN17" s="313">
        <f t="shared" si="46"/>
        <v>-1</v>
      </c>
      <c r="AO17" s="313">
        <f t="shared" si="47" ref="AO17:AQ17">AO18-AO14-AO15-AO16</f>
        <v>3</v>
      </c>
      <c r="AP17" s="974">
        <f t="shared" si="47"/>
        <v>0</v>
      </c>
      <c r="AQ17" s="313">
        <f t="shared" si="47"/>
        <v>0</v>
      </c>
      <c r="AR17" s="313">
        <f t="shared" si="48" ref="AR17:AW17">AR18-AR14-AR15-AR16</f>
        <v>1</v>
      </c>
      <c r="AS17" s="313">
        <f t="shared" si="48"/>
        <v>0</v>
      </c>
      <c r="AT17" s="313">
        <f t="shared" si="48"/>
        <v>0</v>
      </c>
      <c r="AU17" s="974">
        <f t="shared" si="48"/>
        <v>0</v>
      </c>
      <c r="AV17" s="313">
        <f t="shared" si="48"/>
        <v>0</v>
      </c>
      <c r="AW17" s="313">
        <f t="shared" si="48"/>
        <v>0</v>
      </c>
      <c r="AX17" s="313">
        <f t="shared" si="49" ref="AX17:BC17">AX18-AX14-AX15-AX16</f>
        <v>0</v>
      </c>
      <c r="AY17" s="313">
        <f t="shared" si="49"/>
        <v>0</v>
      </c>
      <c r="AZ17" s="974">
        <f t="shared" si="49"/>
        <v>0</v>
      </c>
      <c r="BA17" s="313">
        <f t="shared" si="49"/>
        <v>-1</v>
      </c>
      <c r="BB17" s="313">
        <f t="shared" si="49"/>
        <v>0</v>
      </c>
      <c r="BC17" s="313">
        <f t="shared" si="49"/>
        <v>1</v>
      </c>
      <c r="BD17" s="313">
        <f>BD18-BD14-BD15-BD16</f>
        <v>1</v>
      </c>
      <c r="BE17" s="974">
        <f>BE18-BE14-BE15-BE16</f>
        <v>1</v>
      </c>
      <c r="BF17" s="313">
        <f>BF18-BF14-BF15-BF16</f>
        <v>0</v>
      </c>
      <c r="BG17" s="313">
        <f>BG18-BG14-BG15-BG16</f>
        <v>0</v>
      </c>
      <c r="BH17" s="740">
        <f>BH18-BH14-BH15-BH16</f>
        <v>0</v>
      </c>
      <c r="BI17" s="880">
        <v>0</v>
      </c>
      <c r="BJ17" s="975">
        <f>SUM(BF17,BG17,BH17,BI17)</f>
        <v>0</v>
      </c>
      <c r="BK17" s="880">
        <v>0</v>
      </c>
      <c r="BL17" s="880">
        <v>0</v>
      </c>
      <c r="BM17" s="880">
        <v>0</v>
      </c>
      <c r="BN17" s="880">
        <v>0</v>
      </c>
      <c r="BO17" s="975">
        <f>SUM(BK17,BL17,BM17,BN17)</f>
        <v>0</v>
      </c>
      <c r="BP17" s="976">
        <v>0</v>
      </c>
      <c r="BQ17" s="976">
        <v>0</v>
      </c>
      <c r="BR17" s="976">
        <v>0</v>
      </c>
      <c r="BS17" s="229"/>
    </row>
    <row r="18" spans="1:71" s="44" customFormat="1" ht="15" collapsed="1">
      <c r="A18" s="108" t="s">
        <v>397</v>
      </c>
      <c r="B18" s="397"/>
      <c r="C18" s="977">
        <f t="shared" si="50" ref="C18:AM18">+C163</f>
        <v>16621</v>
      </c>
      <c r="D18" s="977">
        <f t="shared" si="50"/>
        <v>18073</v>
      </c>
      <c r="E18" s="977">
        <f t="shared" si="50"/>
        <v>20362</v>
      </c>
      <c r="F18" s="977">
        <f t="shared" si="50"/>
        <v>22148</v>
      </c>
      <c r="G18" s="977">
        <f t="shared" si="50"/>
        <v>20135</v>
      </c>
      <c r="H18" s="100">
        <f t="shared" si="50"/>
        <v>4854</v>
      </c>
      <c r="I18" s="100">
        <f t="shared" si="50"/>
        <v>4888</v>
      </c>
      <c r="J18" s="100">
        <f t="shared" si="50"/>
        <v>4841</v>
      </c>
      <c r="K18" s="100">
        <f t="shared" si="50"/>
        <v>4489</v>
      </c>
      <c r="L18" s="977">
        <f t="shared" si="50"/>
        <v>19072</v>
      </c>
      <c r="M18" s="100">
        <f t="shared" si="50"/>
        <v>4432</v>
      </c>
      <c r="N18" s="100">
        <f t="shared" si="50"/>
        <v>4364</v>
      </c>
      <c r="O18" s="100">
        <f t="shared" si="50"/>
        <v>4380</v>
      </c>
      <c r="P18" s="100">
        <f t="shared" si="50"/>
        <v>4394</v>
      </c>
      <c r="Q18" s="977">
        <f t="shared" si="50"/>
        <v>17570</v>
      </c>
      <c r="R18" s="100">
        <f t="shared" si="50"/>
        <v>4602</v>
      </c>
      <c r="S18" s="100">
        <f t="shared" si="50"/>
        <v>4823</v>
      </c>
      <c r="T18" s="100">
        <f t="shared" si="50"/>
        <v>5022</v>
      </c>
      <c r="U18" s="100">
        <f t="shared" si="50"/>
        <v>4778</v>
      </c>
      <c r="V18" s="977">
        <f t="shared" si="50"/>
        <v>19225</v>
      </c>
      <c r="W18" s="100">
        <f t="shared" si="50"/>
        <v>4638</v>
      </c>
      <c r="X18" s="100">
        <f t="shared" si="50"/>
        <v>4665</v>
      </c>
      <c r="Y18" s="100">
        <f t="shared" si="50"/>
        <v>4648</v>
      </c>
      <c r="Z18" s="100">
        <f t="shared" si="50"/>
        <v>4580</v>
      </c>
      <c r="AA18" s="977">
        <f t="shared" si="50"/>
        <v>18531</v>
      </c>
      <c r="AB18" s="100">
        <f t="shared" si="50"/>
        <v>4745</v>
      </c>
      <c r="AC18" s="100">
        <f t="shared" si="50"/>
        <v>4706</v>
      </c>
      <c r="AD18" s="100">
        <f t="shared" si="50"/>
        <v>4636</v>
      </c>
      <c r="AE18" s="100">
        <f t="shared" si="50"/>
        <v>4590</v>
      </c>
      <c r="AF18" s="977">
        <f t="shared" si="50"/>
        <v>18677</v>
      </c>
      <c r="AG18" s="100">
        <f t="shared" si="50"/>
        <v>4691</v>
      </c>
      <c r="AH18" s="100">
        <f t="shared" si="50"/>
        <v>4681</v>
      </c>
      <c r="AI18" s="100">
        <f t="shared" si="50"/>
        <v>4736</v>
      </c>
      <c r="AJ18" s="100">
        <f t="shared" si="50"/>
        <v>4672</v>
      </c>
      <c r="AK18" s="977">
        <f t="shared" si="50"/>
        <v>18780</v>
      </c>
      <c r="AL18" s="100">
        <f t="shared" si="50"/>
        <v>4681</v>
      </c>
      <c r="AM18" s="100">
        <f t="shared" si="50"/>
        <v>4664</v>
      </c>
      <c r="AN18" s="100">
        <f t="shared" si="51" ref="AN18:AQ18">+AN163</f>
        <v>4623</v>
      </c>
      <c r="AO18" s="100">
        <f t="shared" si="51"/>
        <v>4654</v>
      </c>
      <c r="AP18" s="977">
        <f t="shared" si="51"/>
        <v>18622</v>
      </c>
      <c r="AQ18" s="100">
        <f t="shared" si="51"/>
        <v>4593</v>
      </c>
      <c r="AR18" s="100">
        <f t="shared" si="52" ref="AR18:AW18">+AR163</f>
        <v>4441</v>
      </c>
      <c r="AS18" s="100">
        <f t="shared" si="52"/>
        <v>4372</v>
      </c>
      <c r="AT18" s="100">
        <f t="shared" si="52"/>
        <v>4241</v>
      </c>
      <c r="AU18" s="977">
        <f t="shared" si="52"/>
        <v>17647</v>
      </c>
      <c r="AV18" s="100">
        <f t="shared" si="52"/>
        <v>4079</v>
      </c>
      <c r="AW18" s="100">
        <f t="shared" si="52"/>
        <v>3764</v>
      </c>
      <c r="AX18" s="100">
        <f t="shared" si="53" ref="AX18:BC18">+AX163</f>
        <v>3535</v>
      </c>
      <c r="AY18" s="100">
        <f t="shared" si="53"/>
        <v>3523</v>
      </c>
      <c r="AZ18" s="977">
        <f t="shared" si="53"/>
        <v>14901</v>
      </c>
      <c r="BA18" s="100">
        <f t="shared" si="53"/>
        <v>3688</v>
      </c>
      <c r="BB18" s="100">
        <f t="shared" si="53"/>
        <v>3573</v>
      </c>
      <c r="BC18" s="100">
        <f t="shared" si="53"/>
        <v>3476</v>
      </c>
      <c r="BD18" s="100">
        <f>+BD163</f>
        <v>3386</v>
      </c>
      <c r="BE18" s="977">
        <f>+BE163</f>
        <v>14123</v>
      </c>
      <c r="BF18" s="100">
        <f>+BF163</f>
        <v>3456</v>
      </c>
      <c r="BG18" s="100">
        <f>+BG163</f>
        <v>3325</v>
      </c>
      <c r="BH18" s="741">
        <f>+BH163</f>
        <v>3328</v>
      </c>
      <c r="BI18" s="185">
        <f>SUM(BI14:BI17)</f>
        <v>3717.12</v>
      </c>
      <c r="BJ18" s="978">
        <f t="shared" si="54" ref="BJ18">SUM(BJ14:BJ17)</f>
        <v>13826.12</v>
      </c>
      <c r="BK18" s="185">
        <f t="shared" si="55" ref="BK18:BR18">SUM(BK14:BK17)</f>
        <v>3257.5749999999998</v>
      </c>
      <c r="BL18" s="185">
        <f t="shared" si="55"/>
        <v>3244.4250000000002</v>
      </c>
      <c r="BM18" s="185">
        <f t="shared" si="55"/>
        <v>3481.6449999999995</v>
      </c>
      <c r="BN18" s="185">
        <f t="shared" si="55"/>
        <v>3967.2956000000004</v>
      </c>
      <c r="BO18" s="978">
        <f t="shared" si="55"/>
        <v>13950.9406</v>
      </c>
      <c r="BP18" s="978">
        <f t="shared" si="55"/>
        <v>14059.063203</v>
      </c>
      <c r="BQ18" s="978">
        <f t="shared" si="55"/>
        <v>14168.120098014999</v>
      </c>
      <c r="BR18" s="978">
        <f t="shared" si="55"/>
        <v>14278.119893295074</v>
      </c>
      <c r="BS18" s="100"/>
    </row>
    <row r="19" spans="1:71" s="224" customFormat="1" ht="15">
      <c r="A19" s="370"/>
      <c r="B19" s="389"/>
      <c r="C19" s="971"/>
      <c r="D19" s="971"/>
      <c r="E19" s="971"/>
      <c r="F19" s="971"/>
      <c r="G19" s="971"/>
      <c r="H19" s="176"/>
      <c r="I19" s="176"/>
      <c r="J19" s="176"/>
      <c r="K19" s="176"/>
      <c r="L19" s="971"/>
      <c r="M19" s="176"/>
      <c r="N19" s="176"/>
      <c r="O19" s="176"/>
      <c r="P19" s="176"/>
      <c r="Q19" s="971"/>
      <c r="R19" s="176"/>
      <c r="S19" s="176"/>
      <c r="T19" s="176"/>
      <c r="U19" s="176"/>
      <c r="V19" s="971"/>
      <c r="W19" s="176"/>
      <c r="X19" s="176"/>
      <c r="Y19" s="176"/>
      <c r="Z19" s="176"/>
      <c r="AA19" s="971"/>
      <c r="AB19" s="176"/>
      <c r="AC19" s="176"/>
      <c r="AD19" s="176"/>
      <c r="AE19" s="176"/>
      <c r="AF19" s="971"/>
      <c r="AG19" s="176"/>
      <c r="AH19" s="176"/>
      <c r="AI19" s="176"/>
      <c r="AJ19" s="176"/>
      <c r="AK19" s="971"/>
      <c r="AL19" s="176"/>
      <c r="AM19" s="176"/>
      <c r="AN19" s="176"/>
      <c r="AO19" s="176"/>
      <c r="AP19" s="971"/>
      <c r="AQ19" s="176"/>
      <c r="AR19" s="176"/>
      <c r="AS19" s="176"/>
      <c r="AT19" s="176"/>
      <c r="AU19" s="971"/>
      <c r="AV19" s="176"/>
      <c r="AW19" s="176"/>
      <c r="AX19" s="176"/>
      <c r="AY19" s="176"/>
      <c r="AZ19" s="971"/>
      <c r="BA19" s="176"/>
      <c r="BB19" s="176"/>
      <c r="BC19" s="176"/>
      <c r="BD19" s="176"/>
      <c r="BE19" s="971"/>
      <c r="BF19" s="176"/>
      <c r="BG19" s="176"/>
      <c r="BH19" s="551"/>
      <c r="BI19" s="176"/>
      <c r="BJ19" s="971"/>
      <c r="BK19" s="176"/>
      <c r="BL19" s="176"/>
      <c r="BM19" s="176"/>
      <c r="BN19" s="176"/>
      <c r="BO19" s="971"/>
      <c r="BP19" s="971"/>
      <c r="BQ19" s="971"/>
      <c r="BR19" s="971"/>
      <c r="BS19" s="229"/>
    </row>
    <row r="20" spans="1:71" s="224" customFormat="1" ht="15">
      <c r="A20" s="362" t="s">
        <v>357</v>
      </c>
      <c r="B20" s="389"/>
      <c r="C20" s="970">
        <f t="shared" si="56" ref="C20:AM20">C85</f>
        <v>8746</v>
      </c>
      <c r="D20" s="970">
        <f t="shared" si="56"/>
        <v>9553</v>
      </c>
      <c r="E20" s="970">
        <f t="shared" si="56"/>
        <v>11037</v>
      </c>
      <c r="F20" s="970">
        <f t="shared" si="56"/>
        <v>12496</v>
      </c>
      <c r="G20" s="970">
        <f t="shared" si="56"/>
        <v>10924</v>
      </c>
      <c r="H20" s="229">
        <f t="shared" si="56"/>
        <v>2534</v>
      </c>
      <c r="I20" s="229">
        <f t="shared" si="56"/>
        <v>2585</v>
      </c>
      <c r="J20" s="229">
        <f t="shared" si="56"/>
        <v>2633</v>
      </c>
      <c r="K20" s="229">
        <f t="shared" si="56"/>
        <v>2332</v>
      </c>
      <c r="L20" s="970">
        <f t="shared" si="56"/>
        <v>10084</v>
      </c>
      <c r="M20" s="229">
        <f t="shared" si="56"/>
        <v>2228</v>
      </c>
      <c r="N20" s="229">
        <f t="shared" si="56"/>
        <v>2170</v>
      </c>
      <c r="O20" s="229">
        <f t="shared" si="56"/>
        <v>2139</v>
      </c>
      <c r="P20" s="229">
        <f t="shared" si="56"/>
        <v>2168</v>
      </c>
      <c r="Q20" s="970">
        <f t="shared" si="56"/>
        <v>8705</v>
      </c>
      <c r="R20" s="229">
        <f t="shared" si="56"/>
        <v>2283</v>
      </c>
      <c r="S20" s="229">
        <f t="shared" si="56"/>
        <v>2455</v>
      </c>
      <c r="T20" s="229">
        <f t="shared" si="56"/>
        <v>2603</v>
      </c>
      <c r="U20" s="229">
        <f t="shared" si="56"/>
        <v>2487</v>
      </c>
      <c r="V20" s="970">
        <f t="shared" si="56"/>
        <v>9828</v>
      </c>
      <c r="W20" s="229">
        <f t="shared" si="56"/>
        <v>2288</v>
      </c>
      <c r="X20" s="229">
        <f t="shared" si="56"/>
        <v>2272</v>
      </c>
      <c r="Y20" s="229">
        <f t="shared" si="56"/>
        <v>2300</v>
      </c>
      <c r="Z20" s="229">
        <f t="shared" si="56"/>
        <v>2227</v>
      </c>
      <c r="AA20" s="970">
        <f t="shared" si="56"/>
        <v>9087</v>
      </c>
      <c r="AB20" s="229">
        <f t="shared" si="56"/>
        <v>2294</v>
      </c>
      <c r="AC20" s="229">
        <f t="shared" si="56"/>
        <v>2237</v>
      </c>
      <c r="AD20" s="229">
        <f t="shared" si="56"/>
        <v>2232</v>
      </c>
      <c r="AE20" s="229">
        <f t="shared" si="56"/>
        <v>2150</v>
      </c>
      <c r="AF20" s="970">
        <f t="shared" si="56"/>
        <v>8913</v>
      </c>
      <c r="AG20" s="229">
        <f t="shared" si="56"/>
        <v>2199</v>
      </c>
      <c r="AH20" s="229">
        <f t="shared" si="56"/>
        <v>2185</v>
      </c>
      <c r="AI20" s="229">
        <f t="shared" si="56"/>
        <v>2268</v>
      </c>
      <c r="AJ20" s="229">
        <f t="shared" si="56"/>
        <v>2225</v>
      </c>
      <c r="AK20" s="970">
        <f t="shared" si="56"/>
        <v>8877</v>
      </c>
      <c r="AL20" s="229">
        <f t="shared" si="56"/>
        <v>2186</v>
      </c>
      <c r="AM20" s="229">
        <f t="shared" si="56"/>
        <v>2205</v>
      </c>
      <c r="AN20" s="229">
        <f t="shared" si="57" ref="AN20:AQ20">AN85</f>
        <v>2259</v>
      </c>
      <c r="AO20" s="229">
        <f t="shared" si="57"/>
        <v>2200</v>
      </c>
      <c r="AP20" s="970">
        <f t="shared" si="57"/>
        <v>8851</v>
      </c>
      <c r="AQ20" s="229">
        <f t="shared" si="57"/>
        <v>2135</v>
      </c>
      <c r="AR20" s="229">
        <f t="shared" si="58" ref="AR20:AU20">AR85</f>
        <v>1998</v>
      </c>
      <c r="AS20" s="229">
        <f t="shared" si="58"/>
        <v>1938</v>
      </c>
      <c r="AT20" s="229">
        <f t="shared" si="58"/>
        <v>1891</v>
      </c>
      <c r="AU20" s="970">
        <f t="shared" si="58"/>
        <v>7963</v>
      </c>
      <c r="AV20" s="229">
        <f t="shared" si="59" ref="AV20:AZ20">AV85</f>
        <v>1779</v>
      </c>
      <c r="AW20" s="229">
        <f t="shared" si="59"/>
        <v>1583</v>
      </c>
      <c r="AX20" s="229">
        <f t="shared" si="59"/>
        <v>1420</v>
      </c>
      <c r="AY20" s="229">
        <f t="shared" si="59"/>
        <v>1408</v>
      </c>
      <c r="AZ20" s="970">
        <f t="shared" si="59"/>
        <v>6191</v>
      </c>
      <c r="BA20" s="229">
        <f t="shared" si="60" ref="BA20:BI20">BA85</f>
        <v>1453</v>
      </c>
      <c r="BB20" s="229">
        <f t="shared" si="60"/>
        <v>1358</v>
      </c>
      <c r="BC20" s="229">
        <f t="shared" si="60"/>
        <v>1286</v>
      </c>
      <c r="BD20" s="229">
        <f t="shared" si="60"/>
        <v>1216</v>
      </c>
      <c r="BE20" s="970">
        <f t="shared" si="60"/>
        <v>5313</v>
      </c>
      <c r="BF20" s="229">
        <f>BF85</f>
        <v>1217</v>
      </c>
      <c r="BG20" s="229">
        <f>BG85</f>
        <v>1148</v>
      </c>
      <c r="BH20" s="738">
        <f>BH85</f>
        <v>828</v>
      </c>
      <c r="BI20" s="176">
        <f t="shared" si="60"/>
        <v>1821.0621672786885</v>
      </c>
      <c r="BJ20" s="971">
        <f>SUM(BF20,BG20,BH20,BI20)</f>
        <v>5014.0621672786883</v>
      </c>
      <c r="BK20" s="176">
        <f>BK85</f>
        <v>1216.3876479123287</v>
      </c>
      <c r="BL20" s="176">
        <f>BL85</f>
        <v>1233.6694088219178</v>
      </c>
      <c r="BM20" s="176">
        <f>BM85</f>
        <v>1368.9569159561645</v>
      </c>
      <c r="BN20" s="176">
        <f>BN85</f>
        <v>1651.2985883221918</v>
      </c>
      <c r="BO20" s="971">
        <f>SUM(BK20,BL20,BM20,BN20)</f>
        <v>5470.3125610126026</v>
      </c>
      <c r="BP20" s="971">
        <f>BP85</f>
        <v>5595.2235304680007</v>
      </c>
      <c r="BQ20" s="971">
        <f>BQ85</f>
        <v>5650.933765772681</v>
      </c>
      <c r="BR20" s="971">
        <f>BR85</f>
        <v>5707.2011034304078</v>
      </c>
      <c r="BS20" s="229"/>
    </row>
    <row r="21" spans="1:71" s="224" customFormat="1" ht="15">
      <c r="A21" s="362" t="s">
        <v>342</v>
      </c>
      <c r="B21" s="389"/>
      <c r="C21" s="970">
        <f t="shared" si="61" ref="C21:AM21">C115</f>
        <v>2561</v>
      </c>
      <c r="D21" s="970">
        <f t="shared" si="61"/>
        <v>2553</v>
      </c>
      <c r="E21" s="970">
        <f t="shared" si="61"/>
        <v>2713</v>
      </c>
      <c r="F21" s="970">
        <f t="shared" si="61"/>
        <v>2834</v>
      </c>
      <c r="G21" s="970">
        <f t="shared" si="61"/>
        <v>2889</v>
      </c>
      <c r="H21" s="229">
        <f t="shared" si="61"/>
        <v>686</v>
      </c>
      <c r="I21" s="229">
        <f t="shared" si="61"/>
        <v>708</v>
      </c>
      <c r="J21" s="229">
        <f t="shared" si="61"/>
        <v>722</v>
      </c>
      <c r="K21" s="229">
        <f t="shared" si="61"/>
        <v>737</v>
      </c>
      <c r="L21" s="970">
        <f t="shared" si="61"/>
        <v>2853</v>
      </c>
      <c r="M21" s="229">
        <f t="shared" si="61"/>
        <v>710</v>
      </c>
      <c r="N21" s="229">
        <f t="shared" si="61"/>
        <v>715</v>
      </c>
      <c r="O21" s="229">
        <f t="shared" si="61"/>
        <v>735</v>
      </c>
      <c r="P21" s="229">
        <f t="shared" si="61"/>
        <v>713</v>
      </c>
      <c r="Q21" s="970">
        <f t="shared" si="61"/>
        <v>2873</v>
      </c>
      <c r="R21" s="229">
        <f t="shared" si="61"/>
        <v>690</v>
      </c>
      <c r="S21" s="229">
        <f t="shared" si="61"/>
        <v>743</v>
      </c>
      <c r="T21" s="229">
        <f t="shared" si="61"/>
        <v>715</v>
      </c>
      <c r="U21" s="229">
        <f t="shared" si="61"/>
        <v>721</v>
      </c>
      <c r="V21" s="970">
        <f t="shared" si="61"/>
        <v>2869</v>
      </c>
      <c r="W21" s="229">
        <f t="shared" si="61"/>
        <v>710</v>
      </c>
      <c r="X21" s="229">
        <f t="shared" si="61"/>
        <v>715</v>
      </c>
      <c r="Y21" s="229">
        <f t="shared" si="61"/>
        <v>731</v>
      </c>
      <c r="Z21" s="229">
        <f t="shared" si="61"/>
        <v>729</v>
      </c>
      <c r="AA21" s="970">
        <f t="shared" si="61"/>
        <v>2885</v>
      </c>
      <c r="AB21" s="229">
        <f t="shared" si="61"/>
        <v>697</v>
      </c>
      <c r="AC21" s="229">
        <f t="shared" si="61"/>
        <v>744</v>
      </c>
      <c r="AD21" s="229">
        <f t="shared" si="61"/>
        <v>722</v>
      </c>
      <c r="AE21" s="229">
        <f t="shared" si="61"/>
        <v>724</v>
      </c>
      <c r="AF21" s="970">
        <f t="shared" si="61"/>
        <v>2887</v>
      </c>
      <c r="AG21" s="229">
        <f t="shared" si="61"/>
        <v>721</v>
      </c>
      <c r="AH21" s="229">
        <f t="shared" si="61"/>
        <v>732</v>
      </c>
      <c r="AI21" s="229">
        <f t="shared" si="61"/>
        <v>710</v>
      </c>
      <c r="AJ21" s="229">
        <f t="shared" si="61"/>
        <v>708</v>
      </c>
      <c r="AK21" s="970">
        <f t="shared" si="61"/>
        <v>2871</v>
      </c>
      <c r="AL21" s="229">
        <f t="shared" si="61"/>
        <v>713</v>
      </c>
      <c r="AM21" s="229">
        <f t="shared" si="61"/>
        <v>646</v>
      </c>
      <c r="AN21" s="229">
        <f t="shared" si="62" ref="AN21:AQ21">AN115</f>
        <v>679</v>
      </c>
      <c r="AO21" s="229">
        <f t="shared" si="62"/>
        <v>727</v>
      </c>
      <c r="AP21" s="970">
        <f t="shared" si="62"/>
        <v>2765</v>
      </c>
      <c r="AQ21" s="229">
        <f t="shared" si="62"/>
        <v>556</v>
      </c>
      <c r="AR21" s="229">
        <f t="shared" si="63" ref="AR21:AU21">AR115</f>
        <v>613</v>
      </c>
      <c r="AS21" s="229">
        <f t="shared" si="63"/>
        <v>628</v>
      </c>
      <c r="AT21" s="229">
        <f t="shared" si="63"/>
        <v>649</v>
      </c>
      <c r="AU21" s="970">
        <f t="shared" si="63"/>
        <v>2447</v>
      </c>
      <c r="AV21" s="229">
        <f t="shared" si="64" ref="AV21:AZ21">AV115</f>
        <v>666</v>
      </c>
      <c r="AW21" s="229">
        <f t="shared" si="64"/>
        <v>658</v>
      </c>
      <c r="AX21" s="229">
        <f t="shared" si="64"/>
        <v>616</v>
      </c>
      <c r="AY21" s="229">
        <f t="shared" si="64"/>
        <v>614</v>
      </c>
      <c r="AZ21" s="970">
        <f t="shared" si="64"/>
        <v>2555</v>
      </c>
      <c r="BA21" s="229">
        <f t="shared" si="65" ref="BA21:BI21">BA115</f>
        <v>651</v>
      </c>
      <c r="BB21" s="229">
        <f t="shared" si="65"/>
        <v>645</v>
      </c>
      <c r="BC21" s="229">
        <f t="shared" si="65"/>
        <v>510</v>
      </c>
      <c r="BD21" s="229">
        <f t="shared" si="65"/>
        <v>626</v>
      </c>
      <c r="BE21" s="970">
        <f t="shared" si="65"/>
        <v>2431</v>
      </c>
      <c r="BF21" s="229">
        <f>BF115</f>
        <v>686</v>
      </c>
      <c r="BG21" s="229">
        <f>BG115</f>
        <v>680</v>
      </c>
      <c r="BH21" s="738">
        <f>BH115</f>
        <v>694</v>
      </c>
      <c r="BI21" s="176">
        <f t="shared" si="65"/>
        <v>702.35363524590173</v>
      </c>
      <c r="BJ21" s="971">
        <f>SUM(BF21,BG21,BH21,BI21)</f>
        <v>2762.3536352459018</v>
      </c>
      <c r="BK21" s="176">
        <f>BK115</f>
        <v>643.47155547945204</v>
      </c>
      <c r="BL21" s="176">
        <f>BL115</f>
        <v>619.75510397260268</v>
      </c>
      <c r="BM21" s="176">
        <f>BM115</f>
        <v>640.18339726027398</v>
      </c>
      <c r="BN21" s="176">
        <f>BN115</f>
        <v>642.45772771232885</v>
      </c>
      <c r="BO21" s="971">
        <f>SUM(BK21,BL21,BM21,BN21)</f>
        <v>2545.8677844246577</v>
      </c>
      <c r="BP21" s="971">
        <f>BP115</f>
        <v>2475.4508697084375</v>
      </c>
      <c r="BQ21" s="971">
        <f>BQ115</f>
        <v>2703.4098042528749</v>
      </c>
      <c r="BR21" s="971">
        <f>BR115</f>
        <v>2731.4872339452486</v>
      </c>
      <c r="BS21" s="229"/>
    </row>
    <row r="22" spans="1:71" s="224" customFormat="1" ht="15">
      <c r="A22" s="364" t="s">
        <v>351</v>
      </c>
      <c r="B22" s="486"/>
      <c r="C22" s="972">
        <f t="shared" si="66" ref="C22:AM22">C143</f>
        <v>0</v>
      </c>
      <c r="D22" s="972">
        <f t="shared" si="66"/>
        <v>0</v>
      </c>
      <c r="E22" s="972">
        <f t="shared" si="66"/>
        <v>0</v>
      </c>
      <c r="F22" s="972">
        <f t="shared" si="66"/>
        <v>0</v>
      </c>
      <c r="G22" s="972">
        <f t="shared" si="66"/>
        <v>0</v>
      </c>
      <c r="H22" s="310">
        <f t="shared" si="66"/>
        <v>0</v>
      </c>
      <c r="I22" s="310">
        <f t="shared" si="66"/>
        <v>0</v>
      </c>
      <c r="J22" s="310">
        <f t="shared" si="66"/>
        <v>0</v>
      </c>
      <c r="K22" s="310">
        <f t="shared" si="66"/>
        <v>0</v>
      </c>
      <c r="L22" s="972">
        <f t="shared" si="66"/>
        <v>0</v>
      </c>
      <c r="M22" s="310">
        <f t="shared" si="66"/>
        <v>0</v>
      </c>
      <c r="N22" s="310">
        <f t="shared" si="66"/>
        <v>0</v>
      </c>
      <c r="O22" s="310">
        <f t="shared" si="66"/>
        <v>0</v>
      </c>
      <c r="P22" s="310">
        <f t="shared" si="66"/>
        <v>0</v>
      </c>
      <c r="Q22" s="972">
        <f t="shared" si="66"/>
        <v>168</v>
      </c>
      <c r="R22" s="310">
        <f t="shared" si="66"/>
        <v>0</v>
      </c>
      <c r="S22" s="310">
        <f t="shared" si="66"/>
        <v>0</v>
      </c>
      <c r="T22" s="310">
        <f t="shared" si="66"/>
        <v>0</v>
      </c>
      <c r="U22" s="310">
        <f t="shared" si="66"/>
        <v>0</v>
      </c>
      <c r="V22" s="972">
        <f t="shared" si="66"/>
        <v>223</v>
      </c>
      <c r="W22" s="310">
        <f t="shared" si="66"/>
        <v>55</v>
      </c>
      <c r="X22" s="310">
        <f t="shared" si="66"/>
        <v>52</v>
      </c>
      <c r="Y22" s="310">
        <f t="shared" si="66"/>
        <v>52</v>
      </c>
      <c r="Z22" s="310">
        <f t="shared" si="66"/>
        <v>50</v>
      </c>
      <c r="AA22" s="972">
        <f t="shared" si="66"/>
        <v>209</v>
      </c>
      <c r="AB22" s="310">
        <f t="shared" si="66"/>
        <v>52</v>
      </c>
      <c r="AC22" s="310">
        <f t="shared" si="66"/>
        <v>50</v>
      </c>
      <c r="AD22" s="310">
        <f t="shared" si="66"/>
        <v>47</v>
      </c>
      <c r="AE22" s="310">
        <f t="shared" si="66"/>
        <v>50</v>
      </c>
      <c r="AF22" s="972">
        <f t="shared" si="66"/>
        <v>199</v>
      </c>
      <c r="AG22" s="310">
        <f t="shared" si="66"/>
        <v>47</v>
      </c>
      <c r="AH22" s="310">
        <f t="shared" si="66"/>
        <v>48</v>
      </c>
      <c r="AI22" s="310">
        <f t="shared" si="66"/>
        <v>49</v>
      </c>
      <c r="AJ22" s="310">
        <f t="shared" si="66"/>
        <v>50</v>
      </c>
      <c r="AK22" s="972">
        <f t="shared" si="66"/>
        <v>194</v>
      </c>
      <c r="AL22" s="310">
        <f t="shared" si="66"/>
        <v>40</v>
      </c>
      <c r="AM22" s="310">
        <f t="shared" si="66"/>
        <v>47</v>
      </c>
      <c r="AN22" s="310">
        <f t="shared" si="67" ref="AN22:AQ22">AN143</f>
        <v>47</v>
      </c>
      <c r="AO22" s="310">
        <f t="shared" si="67"/>
        <v>46</v>
      </c>
      <c r="AP22" s="972">
        <f t="shared" si="67"/>
        <v>180</v>
      </c>
      <c r="AQ22" s="310">
        <f t="shared" si="67"/>
        <v>43</v>
      </c>
      <c r="AR22" s="310">
        <f t="shared" si="68" ref="AR22:AU22">AR143</f>
        <v>41</v>
      </c>
      <c r="AS22" s="310">
        <f t="shared" si="68"/>
        <v>42</v>
      </c>
      <c r="AT22" s="310">
        <f t="shared" si="68"/>
        <v>40</v>
      </c>
      <c r="AU22" s="972">
        <f t="shared" si="68"/>
        <v>166</v>
      </c>
      <c r="AV22" s="310">
        <f t="shared" si="69" ref="AV22:AZ22">AV143</f>
        <v>37</v>
      </c>
      <c r="AW22" s="310">
        <f t="shared" si="69"/>
        <v>33</v>
      </c>
      <c r="AX22" s="310">
        <f t="shared" si="69"/>
        <v>40</v>
      </c>
      <c r="AY22" s="310">
        <f t="shared" si="69"/>
        <v>31</v>
      </c>
      <c r="AZ22" s="972">
        <f t="shared" si="69"/>
        <v>141</v>
      </c>
      <c r="BA22" s="310">
        <f t="shared" si="70" ref="BA22:BI22">BA143</f>
        <v>46</v>
      </c>
      <c r="BB22" s="310">
        <f t="shared" si="70"/>
        <v>95</v>
      </c>
      <c r="BC22" s="310">
        <f t="shared" si="70"/>
        <v>65</v>
      </c>
      <c r="BD22" s="310">
        <f t="shared" si="70"/>
        <v>261</v>
      </c>
      <c r="BE22" s="972">
        <f t="shared" si="70"/>
        <v>467</v>
      </c>
      <c r="BF22" s="310">
        <f>BF143</f>
        <v>107</v>
      </c>
      <c r="BG22" s="310">
        <f>BG143</f>
        <v>94</v>
      </c>
      <c r="BH22" s="739">
        <f>BH143</f>
        <v>74</v>
      </c>
      <c r="BI22" s="177">
        <f t="shared" si="70"/>
        <v>45</v>
      </c>
      <c r="BJ22" s="973">
        <f>SUM(BF22,BG22,BH22,BI22)</f>
        <v>320</v>
      </c>
      <c r="BK22" s="177">
        <f>BK143</f>
        <v>45</v>
      </c>
      <c r="BL22" s="177">
        <f>BL143</f>
        <v>45</v>
      </c>
      <c r="BM22" s="177">
        <f>BM143</f>
        <v>45</v>
      </c>
      <c r="BN22" s="177">
        <f>BN143</f>
        <v>45</v>
      </c>
      <c r="BO22" s="973">
        <f>SUM(BK22,BL22,BM22,BN22)</f>
        <v>180</v>
      </c>
      <c r="BP22" s="973">
        <f>BP143</f>
        <v>185</v>
      </c>
      <c r="BQ22" s="973">
        <f>BQ143</f>
        <v>185</v>
      </c>
      <c r="BR22" s="973">
        <f>BR143</f>
        <v>185</v>
      </c>
      <c r="BS22" s="229"/>
    </row>
    <row r="23" spans="1:71" s="224" customFormat="1" ht="15" hidden="1" outlineLevel="1">
      <c r="A23" s="407" t="s">
        <v>406</v>
      </c>
      <c r="B23" s="487"/>
      <c r="C23" s="974">
        <f t="shared" si="71" ref="C23:AN23">C24-C20-C21-C22</f>
        <v>1</v>
      </c>
      <c r="D23" s="974">
        <f t="shared" si="71"/>
        <v>0</v>
      </c>
      <c r="E23" s="974">
        <f t="shared" si="71"/>
        <v>-1</v>
      </c>
      <c r="F23" s="974">
        <f t="shared" si="71"/>
        <v>0</v>
      </c>
      <c r="G23" s="974">
        <f t="shared" si="71"/>
        <v>0</v>
      </c>
      <c r="H23" s="313">
        <f t="shared" si="71"/>
        <v>0</v>
      </c>
      <c r="I23" s="313">
        <f t="shared" si="71"/>
        <v>0</v>
      </c>
      <c r="J23" s="313">
        <f t="shared" si="71"/>
        <v>0</v>
      </c>
      <c r="K23" s="313">
        <f t="shared" si="71"/>
        <v>0</v>
      </c>
      <c r="L23" s="974">
        <f t="shared" si="71"/>
        <v>0</v>
      </c>
      <c r="M23" s="313">
        <f t="shared" si="71"/>
        <v>14</v>
      </c>
      <c r="N23" s="313">
        <f t="shared" si="71"/>
        <v>52</v>
      </c>
      <c r="O23" s="313">
        <f t="shared" si="71"/>
        <v>53</v>
      </c>
      <c r="P23" s="313">
        <f t="shared" si="71"/>
        <v>49</v>
      </c>
      <c r="Q23" s="974">
        <f t="shared" si="71"/>
        <v>0</v>
      </c>
      <c r="R23" s="313">
        <f t="shared" si="71"/>
        <v>52</v>
      </c>
      <c r="S23" s="313">
        <f t="shared" si="71"/>
        <v>56</v>
      </c>
      <c r="T23" s="313">
        <f t="shared" si="71"/>
        <v>60</v>
      </c>
      <c r="U23" s="313">
        <f t="shared" si="71"/>
        <v>54</v>
      </c>
      <c r="V23" s="974">
        <f t="shared" si="71"/>
        <v>-1</v>
      </c>
      <c r="W23" s="313">
        <f t="shared" si="71"/>
        <v>-1</v>
      </c>
      <c r="X23" s="313">
        <f t="shared" si="71"/>
        <v>0</v>
      </c>
      <c r="Y23" s="313">
        <f t="shared" si="71"/>
        <v>0</v>
      </c>
      <c r="Z23" s="313">
        <f t="shared" si="71"/>
        <v>1</v>
      </c>
      <c r="AA23" s="974">
        <f t="shared" si="71"/>
        <v>0</v>
      </c>
      <c r="AB23" s="313">
        <f t="shared" si="71"/>
        <v>-1</v>
      </c>
      <c r="AC23" s="313">
        <f t="shared" si="71"/>
        <v>0</v>
      </c>
      <c r="AD23" s="313">
        <f t="shared" si="71"/>
        <v>1</v>
      </c>
      <c r="AE23" s="313">
        <f t="shared" si="71"/>
        <v>1</v>
      </c>
      <c r="AF23" s="974">
        <f t="shared" si="71"/>
        <v>1</v>
      </c>
      <c r="AG23" s="313">
        <f t="shared" si="71"/>
        <v>0</v>
      </c>
      <c r="AH23" s="313">
        <f t="shared" si="71"/>
        <v>-1</v>
      </c>
      <c r="AI23" s="313">
        <f t="shared" si="71"/>
        <v>0</v>
      </c>
      <c r="AJ23" s="313">
        <f t="shared" si="71"/>
        <v>1</v>
      </c>
      <c r="AK23" s="974">
        <f t="shared" si="71"/>
        <v>0</v>
      </c>
      <c r="AL23" s="313">
        <f t="shared" si="71"/>
        <v>0</v>
      </c>
      <c r="AM23" s="313">
        <f t="shared" si="71"/>
        <v>-1</v>
      </c>
      <c r="AN23" s="313">
        <f t="shared" si="71"/>
        <v>0</v>
      </c>
      <c r="AO23" s="313">
        <f t="shared" si="72" ref="AO23:AQ23">AO24-AO20-AO21-AO22</f>
        <v>2</v>
      </c>
      <c r="AP23" s="974">
        <f t="shared" si="72"/>
        <v>0</v>
      </c>
      <c r="AQ23" s="313">
        <f t="shared" si="72"/>
        <v>1</v>
      </c>
      <c r="AR23" s="313">
        <f t="shared" si="73" ref="AR23:AW23">AR24-AR20-AR21-AR22</f>
        <v>1</v>
      </c>
      <c r="AS23" s="313">
        <f t="shared" si="73"/>
        <v>1</v>
      </c>
      <c r="AT23" s="313">
        <f t="shared" si="73"/>
        <v>-1</v>
      </c>
      <c r="AU23" s="974">
        <f t="shared" si="73"/>
        <v>0</v>
      </c>
      <c r="AV23" s="313">
        <f t="shared" si="73"/>
        <v>1</v>
      </c>
      <c r="AW23" s="313">
        <f t="shared" si="73"/>
        <v>0</v>
      </c>
      <c r="AX23" s="313">
        <f t="shared" si="74" ref="AX23:BC23">AX24-AX20-AX21-AX22</f>
        <v>0</v>
      </c>
      <c r="AY23" s="313">
        <f t="shared" si="74"/>
        <v>1</v>
      </c>
      <c r="AZ23" s="974">
        <f t="shared" si="74"/>
        <v>0</v>
      </c>
      <c r="BA23" s="313">
        <f t="shared" si="74"/>
        <v>0</v>
      </c>
      <c r="BB23" s="313">
        <f t="shared" si="74"/>
        <v>0</v>
      </c>
      <c r="BC23" s="313">
        <f t="shared" si="74"/>
        <v>-1</v>
      </c>
      <c r="BD23" s="313">
        <f>BD24-BD20-BD21-BD22</f>
        <v>0</v>
      </c>
      <c r="BE23" s="974">
        <f>BE24-BE20-BE21-BE22</f>
        <v>0</v>
      </c>
      <c r="BF23" s="313">
        <f>BF24-BF20-BF21-BF22</f>
        <v>0</v>
      </c>
      <c r="BG23" s="313">
        <f>BG24-BG20-BG21-BG22</f>
        <v>-1</v>
      </c>
      <c r="BH23" s="740">
        <f>BH24-BH20-BH21-BH22</f>
        <v>-1</v>
      </c>
      <c r="BI23" s="880">
        <v>0</v>
      </c>
      <c r="BJ23" s="975">
        <f>SUM(BF23,BG23,BH23,BI23)</f>
        <v>-2</v>
      </c>
      <c r="BK23" s="880">
        <v>0</v>
      </c>
      <c r="BL23" s="880">
        <v>0</v>
      </c>
      <c r="BM23" s="880">
        <v>0</v>
      </c>
      <c r="BN23" s="880">
        <v>0</v>
      </c>
      <c r="BO23" s="975">
        <f>SUM(BK23,BL23,BM23,BN23)</f>
        <v>0</v>
      </c>
      <c r="BP23" s="976">
        <v>0</v>
      </c>
      <c r="BQ23" s="976">
        <v>0</v>
      </c>
      <c r="BR23" s="976">
        <v>0</v>
      </c>
      <c r="BS23" s="229"/>
    </row>
    <row r="24" spans="1:71" s="44" customFormat="1" ht="15" collapsed="1">
      <c r="A24" s="108" t="s">
        <v>398</v>
      </c>
      <c r="B24" s="397"/>
      <c r="C24" s="977">
        <f t="shared" si="75" ref="C24:AM24">+C173</f>
        <v>11308</v>
      </c>
      <c r="D24" s="977">
        <f t="shared" si="75"/>
        <v>12106</v>
      </c>
      <c r="E24" s="977">
        <f t="shared" si="75"/>
        <v>13749</v>
      </c>
      <c r="F24" s="977">
        <f t="shared" si="75"/>
        <v>15330</v>
      </c>
      <c r="G24" s="977">
        <f t="shared" si="75"/>
        <v>13813</v>
      </c>
      <c r="H24" s="100">
        <f t="shared" si="75"/>
        <v>3220</v>
      </c>
      <c r="I24" s="100">
        <f t="shared" si="75"/>
        <v>3293</v>
      </c>
      <c r="J24" s="100">
        <f t="shared" si="75"/>
        <v>3355</v>
      </c>
      <c r="K24" s="100">
        <f t="shared" si="75"/>
        <v>3069</v>
      </c>
      <c r="L24" s="977">
        <f t="shared" si="75"/>
        <v>12937</v>
      </c>
      <c r="M24" s="100">
        <f t="shared" si="75"/>
        <v>2952</v>
      </c>
      <c r="N24" s="100">
        <f t="shared" si="75"/>
        <v>2937</v>
      </c>
      <c r="O24" s="100">
        <f t="shared" si="75"/>
        <v>2927</v>
      </c>
      <c r="P24" s="100">
        <f t="shared" si="75"/>
        <v>2930</v>
      </c>
      <c r="Q24" s="977">
        <f t="shared" si="75"/>
        <v>11746</v>
      </c>
      <c r="R24" s="100">
        <f t="shared" si="75"/>
        <v>3025</v>
      </c>
      <c r="S24" s="100">
        <f t="shared" si="75"/>
        <v>3254</v>
      </c>
      <c r="T24" s="100">
        <f t="shared" si="75"/>
        <v>3378</v>
      </c>
      <c r="U24" s="100">
        <f t="shared" si="75"/>
        <v>3262</v>
      </c>
      <c r="V24" s="977">
        <f t="shared" si="75"/>
        <v>12919</v>
      </c>
      <c r="W24" s="100">
        <f t="shared" si="75"/>
        <v>3052</v>
      </c>
      <c r="X24" s="100">
        <f t="shared" si="75"/>
        <v>3039</v>
      </c>
      <c r="Y24" s="100">
        <f t="shared" si="75"/>
        <v>3083</v>
      </c>
      <c r="Z24" s="100">
        <f t="shared" si="75"/>
        <v>3007</v>
      </c>
      <c r="AA24" s="977">
        <f t="shared" si="75"/>
        <v>12181</v>
      </c>
      <c r="AB24" s="100">
        <f t="shared" si="75"/>
        <v>3042</v>
      </c>
      <c r="AC24" s="100">
        <f t="shared" si="75"/>
        <v>3031</v>
      </c>
      <c r="AD24" s="100">
        <f t="shared" si="75"/>
        <v>3002</v>
      </c>
      <c r="AE24" s="100">
        <f t="shared" si="75"/>
        <v>2925</v>
      </c>
      <c r="AF24" s="977">
        <f t="shared" si="75"/>
        <v>12000</v>
      </c>
      <c r="AG24" s="100">
        <f t="shared" si="75"/>
        <v>2967</v>
      </c>
      <c r="AH24" s="100">
        <f t="shared" si="75"/>
        <v>2964</v>
      </c>
      <c r="AI24" s="100">
        <f t="shared" si="75"/>
        <v>3027</v>
      </c>
      <c r="AJ24" s="100">
        <f t="shared" si="75"/>
        <v>2984</v>
      </c>
      <c r="AK24" s="977">
        <f t="shared" si="75"/>
        <v>11942</v>
      </c>
      <c r="AL24" s="100">
        <f t="shared" si="75"/>
        <v>2939</v>
      </c>
      <c r="AM24" s="100">
        <f t="shared" si="75"/>
        <v>2897</v>
      </c>
      <c r="AN24" s="100">
        <f t="shared" si="76" ref="AN24:AQ24">+AN173</f>
        <v>2985</v>
      </c>
      <c r="AO24" s="100">
        <f t="shared" si="76"/>
        <v>2975</v>
      </c>
      <c r="AP24" s="977">
        <f t="shared" si="76"/>
        <v>11796</v>
      </c>
      <c r="AQ24" s="100">
        <f t="shared" si="76"/>
        <v>2735</v>
      </c>
      <c r="AR24" s="100">
        <f t="shared" si="77" ref="AR24:AW24">+AR173</f>
        <v>2653</v>
      </c>
      <c r="AS24" s="100">
        <f t="shared" si="77"/>
        <v>2609</v>
      </c>
      <c r="AT24" s="100">
        <f t="shared" si="77"/>
        <v>2579</v>
      </c>
      <c r="AU24" s="977">
        <f t="shared" si="77"/>
        <v>10576</v>
      </c>
      <c r="AV24" s="100">
        <f t="shared" si="77"/>
        <v>2483</v>
      </c>
      <c r="AW24" s="100">
        <f t="shared" si="77"/>
        <v>2274</v>
      </c>
      <c r="AX24" s="100">
        <f t="shared" si="78" ref="AX24:BC24">+AX173</f>
        <v>2076</v>
      </c>
      <c r="AY24" s="100">
        <f t="shared" si="78"/>
        <v>2054</v>
      </c>
      <c r="AZ24" s="977">
        <f t="shared" si="78"/>
        <v>8887</v>
      </c>
      <c r="BA24" s="100">
        <f t="shared" si="78"/>
        <v>2150</v>
      </c>
      <c r="BB24" s="100">
        <f t="shared" si="78"/>
        <v>2098</v>
      </c>
      <c r="BC24" s="100">
        <f t="shared" si="78"/>
        <v>1860</v>
      </c>
      <c r="BD24" s="100">
        <f>+BD173</f>
        <v>2103</v>
      </c>
      <c r="BE24" s="977">
        <f>+BE173</f>
        <v>8211</v>
      </c>
      <c r="BF24" s="100">
        <f>+BF173</f>
        <v>2010</v>
      </c>
      <c r="BG24" s="100">
        <f>+BG173</f>
        <v>1921</v>
      </c>
      <c r="BH24" s="741">
        <f>+BH173</f>
        <v>1595</v>
      </c>
      <c r="BI24" s="185">
        <f>SUM(BI20:BI23)</f>
        <v>2568.4158025245902</v>
      </c>
      <c r="BJ24" s="978">
        <f t="shared" si="79" ref="BJ24">SUM(BJ20:BJ23)</f>
        <v>8094.4158025245906</v>
      </c>
      <c r="BK24" s="185">
        <f t="shared" si="80" ref="BK24:BR24">SUM(BK20:BK23)</f>
        <v>1904.8592033917807</v>
      </c>
      <c r="BL24" s="185">
        <f t="shared" si="80"/>
        <v>1898.4245127945205</v>
      </c>
      <c r="BM24" s="185">
        <f t="shared" si="80"/>
        <v>2054.1403132164387</v>
      </c>
      <c r="BN24" s="185">
        <f t="shared" si="80"/>
        <v>2338.7563160345208</v>
      </c>
      <c r="BO24" s="978">
        <f t="shared" si="80"/>
        <v>8196.1803454372603</v>
      </c>
      <c r="BP24" s="978">
        <f t="shared" si="80"/>
        <v>8255.6744001764382</v>
      </c>
      <c r="BQ24" s="978">
        <f t="shared" si="80"/>
        <v>8539.3435700255559</v>
      </c>
      <c r="BR24" s="978">
        <f t="shared" si="80"/>
        <v>8623.6883373756573</v>
      </c>
      <c r="BS24" s="100"/>
    </row>
    <row r="25" spans="1:71" s="224" customFormat="1" ht="15">
      <c r="A25" s="370"/>
      <c r="B25" s="389"/>
      <c r="C25" s="971"/>
      <c r="D25" s="971"/>
      <c r="E25" s="971"/>
      <c r="F25" s="971"/>
      <c r="G25" s="971"/>
      <c r="H25" s="176"/>
      <c r="I25" s="176"/>
      <c r="J25" s="176"/>
      <c r="K25" s="176"/>
      <c r="L25" s="971"/>
      <c r="M25" s="176"/>
      <c r="N25" s="176"/>
      <c r="O25" s="176"/>
      <c r="P25" s="176"/>
      <c r="Q25" s="971"/>
      <c r="R25" s="176"/>
      <c r="S25" s="176"/>
      <c r="T25" s="176"/>
      <c r="U25" s="176"/>
      <c r="V25" s="971"/>
      <c r="W25" s="176"/>
      <c r="X25" s="176"/>
      <c r="Y25" s="176"/>
      <c r="Z25" s="176"/>
      <c r="AA25" s="971"/>
      <c r="AB25" s="176"/>
      <c r="AC25" s="176"/>
      <c r="AD25" s="176"/>
      <c r="AE25" s="176"/>
      <c r="AF25" s="971"/>
      <c r="AG25" s="176"/>
      <c r="AH25" s="176"/>
      <c r="AI25" s="176"/>
      <c r="AJ25" s="176"/>
      <c r="AK25" s="971"/>
      <c r="AL25" s="176"/>
      <c r="AM25" s="176"/>
      <c r="AN25" s="176"/>
      <c r="AO25" s="176"/>
      <c r="AP25" s="971"/>
      <c r="AQ25" s="176"/>
      <c r="AR25" s="176"/>
      <c r="AS25" s="176"/>
      <c r="AT25" s="176"/>
      <c r="AU25" s="971"/>
      <c r="AV25" s="176"/>
      <c r="AW25" s="176"/>
      <c r="AX25" s="176"/>
      <c r="AY25" s="176"/>
      <c r="AZ25" s="971"/>
      <c r="BA25" s="176"/>
      <c r="BB25" s="176"/>
      <c r="BC25" s="176"/>
      <c r="BD25" s="176"/>
      <c r="BE25" s="971"/>
      <c r="BF25" s="176"/>
      <c r="BG25" s="176"/>
      <c r="BH25" s="551"/>
      <c r="BI25" s="176"/>
      <c r="BJ25" s="971"/>
      <c r="BK25" s="176"/>
      <c r="BL25" s="176"/>
      <c r="BM25" s="176"/>
      <c r="BN25" s="176"/>
      <c r="BO25" s="971"/>
      <c r="BP25" s="971"/>
      <c r="BQ25" s="971"/>
      <c r="BR25" s="971"/>
      <c r="BS25" s="229"/>
    </row>
    <row r="26" spans="1:71" s="224" customFormat="1" ht="15">
      <c r="A26" s="362" t="s">
        <v>358</v>
      </c>
      <c r="B26" s="389"/>
      <c r="C26" s="970">
        <f t="shared" si="81" ref="C26:AM26">C86</f>
        <v>523</v>
      </c>
      <c r="D26" s="970">
        <f t="shared" si="81"/>
        <v>597</v>
      </c>
      <c r="E26" s="970">
        <f t="shared" si="81"/>
        <v>650</v>
      </c>
      <c r="F26" s="970">
        <f t="shared" si="81"/>
        <v>716</v>
      </c>
      <c r="G26" s="970">
        <f t="shared" si="81"/>
        <v>641</v>
      </c>
      <c r="H26" s="229">
        <f t="shared" si="81"/>
        <v>164</v>
      </c>
      <c r="I26" s="229">
        <f t="shared" si="81"/>
        <v>168</v>
      </c>
      <c r="J26" s="229">
        <f t="shared" si="81"/>
        <v>159</v>
      </c>
      <c r="K26" s="229">
        <f t="shared" si="81"/>
        <v>158</v>
      </c>
      <c r="L26" s="970">
        <f t="shared" si="81"/>
        <v>649</v>
      </c>
      <c r="M26" s="229">
        <f t="shared" si="81"/>
        <v>149</v>
      </c>
      <c r="N26" s="229">
        <f t="shared" si="81"/>
        <v>141</v>
      </c>
      <c r="O26" s="229">
        <f t="shared" si="81"/>
        <v>144</v>
      </c>
      <c r="P26" s="229">
        <f t="shared" si="81"/>
        <v>144</v>
      </c>
      <c r="Q26" s="970">
        <f t="shared" si="81"/>
        <v>578</v>
      </c>
      <c r="R26" s="229">
        <f t="shared" si="81"/>
        <v>151</v>
      </c>
      <c r="S26" s="229">
        <f t="shared" si="81"/>
        <v>167</v>
      </c>
      <c r="T26" s="229">
        <f t="shared" si="81"/>
        <v>166</v>
      </c>
      <c r="U26" s="229">
        <f t="shared" si="81"/>
        <v>160</v>
      </c>
      <c r="V26" s="970">
        <f t="shared" si="81"/>
        <v>644</v>
      </c>
      <c r="W26" s="229">
        <f t="shared" si="81"/>
        <v>154</v>
      </c>
      <c r="X26" s="229">
        <f t="shared" si="81"/>
        <v>167</v>
      </c>
      <c r="Y26" s="229">
        <f t="shared" si="81"/>
        <v>155</v>
      </c>
      <c r="Z26" s="229">
        <f t="shared" si="81"/>
        <v>154</v>
      </c>
      <c r="AA26" s="970">
        <f t="shared" si="81"/>
        <v>630</v>
      </c>
      <c r="AB26" s="229">
        <f t="shared" si="81"/>
        <v>168</v>
      </c>
      <c r="AC26" s="229">
        <f t="shared" si="81"/>
        <v>180</v>
      </c>
      <c r="AD26" s="229">
        <f t="shared" si="81"/>
        <v>182</v>
      </c>
      <c r="AE26" s="229">
        <f t="shared" si="81"/>
        <v>180</v>
      </c>
      <c r="AF26" s="970">
        <f t="shared" si="81"/>
        <v>710</v>
      </c>
      <c r="AG26" s="229">
        <f t="shared" si="81"/>
        <v>182</v>
      </c>
      <c r="AH26" s="229">
        <f t="shared" si="81"/>
        <v>177</v>
      </c>
      <c r="AI26" s="229">
        <f t="shared" si="81"/>
        <v>179</v>
      </c>
      <c r="AJ26" s="229">
        <f t="shared" si="81"/>
        <v>171</v>
      </c>
      <c r="AK26" s="970">
        <f t="shared" si="81"/>
        <v>709</v>
      </c>
      <c r="AL26" s="229">
        <f t="shared" si="81"/>
        <v>173</v>
      </c>
      <c r="AM26" s="229">
        <f t="shared" si="81"/>
        <v>155</v>
      </c>
      <c r="AN26" s="229">
        <f t="shared" si="82" ref="AN26:AQ26">AN86</f>
        <v>151</v>
      </c>
      <c r="AO26" s="229">
        <f t="shared" si="82"/>
        <v>165</v>
      </c>
      <c r="AP26" s="970">
        <f t="shared" si="82"/>
        <v>644</v>
      </c>
      <c r="AQ26" s="229">
        <f t="shared" si="82"/>
        <v>172</v>
      </c>
      <c r="AR26" s="229">
        <f t="shared" si="83" ref="AR26:AU26">AR86</f>
        <v>169</v>
      </c>
      <c r="AS26" s="229">
        <f t="shared" si="83"/>
        <v>154</v>
      </c>
      <c r="AT26" s="229">
        <f t="shared" si="83"/>
        <v>157</v>
      </c>
      <c r="AU26" s="970">
        <f t="shared" si="83"/>
        <v>653</v>
      </c>
      <c r="AV26" s="229">
        <f t="shared" si="84" ref="AV26:AZ26">AV86</f>
        <v>94</v>
      </c>
      <c r="AW26" s="229">
        <f t="shared" si="84"/>
        <v>85</v>
      </c>
      <c r="AX26" s="229">
        <f t="shared" si="84"/>
        <v>80</v>
      </c>
      <c r="AY26" s="229">
        <f t="shared" si="84"/>
        <v>79</v>
      </c>
      <c r="AZ26" s="970">
        <f t="shared" si="84"/>
        <v>338</v>
      </c>
      <c r="BA26" s="229">
        <f t="shared" si="85" ref="BA26:BI26">BA86</f>
        <v>85</v>
      </c>
      <c r="BB26" s="229">
        <f t="shared" si="85"/>
        <v>83</v>
      </c>
      <c r="BC26" s="229">
        <f t="shared" si="85"/>
        <v>79</v>
      </c>
      <c r="BD26" s="229">
        <f t="shared" si="85"/>
        <v>80</v>
      </c>
      <c r="BE26" s="970">
        <f t="shared" si="85"/>
        <v>326</v>
      </c>
      <c r="BF26" s="229">
        <f>BF86</f>
        <v>83</v>
      </c>
      <c r="BG26" s="229">
        <f>BG86</f>
        <v>77</v>
      </c>
      <c r="BH26" s="738">
        <f>BH86</f>
        <v>82</v>
      </c>
      <c r="BI26" s="176">
        <f t="shared" si="85"/>
        <v>156.98811786885247</v>
      </c>
      <c r="BJ26" s="971">
        <f>SUM(BF26,BG26,BH26,BI26)</f>
        <v>398.98811786885244</v>
      </c>
      <c r="BK26" s="176">
        <f>BK86</f>
        <v>112.62848591780822</v>
      </c>
      <c r="BL26" s="176">
        <f>BL86</f>
        <v>112.15176443835617</v>
      </c>
      <c r="BM26" s="176">
        <f>BM86</f>
        <v>124.45062872328768</v>
      </c>
      <c r="BN26" s="176">
        <f>BN86</f>
        <v>150.11805348383561</v>
      </c>
      <c r="BO26" s="971">
        <f>SUM(BK26,BL26,BM26,BN26)</f>
        <v>499.34893256328769</v>
      </c>
      <c r="BP26" s="971">
        <f>BP86</f>
        <v>508.65668458800013</v>
      </c>
      <c r="BQ26" s="971">
        <f>BQ86</f>
        <v>513.72125143388007</v>
      </c>
      <c r="BR26" s="971">
        <f>BR86</f>
        <v>518.83646394821892</v>
      </c>
      <c r="BS26" s="229"/>
    </row>
    <row r="27" spans="1:71" s="224" customFormat="1" ht="15">
      <c r="A27" s="364" t="s">
        <v>343</v>
      </c>
      <c r="B27" s="486"/>
      <c r="C27" s="972">
        <f t="shared" si="86" ref="C27:AM27">C116</f>
        <v>419</v>
      </c>
      <c r="D27" s="972">
        <f t="shared" si="86"/>
        <v>395</v>
      </c>
      <c r="E27" s="972">
        <f t="shared" si="86"/>
        <v>383</v>
      </c>
      <c r="F27" s="972">
        <f t="shared" si="86"/>
        <v>400</v>
      </c>
      <c r="G27" s="972">
        <f t="shared" si="86"/>
        <v>433</v>
      </c>
      <c r="H27" s="310">
        <f t="shared" si="86"/>
        <v>130</v>
      </c>
      <c r="I27" s="310">
        <f t="shared" si="86"/>
        <v>108</v>
      </c>
      <c r="J27" s="310">
        <f t="shared" si="86"/>
        <v>112</v>
      </c>
      <c r="K27" s="310">
        <f t="shared" si="86"/>
        <v>109</v>
      </c>
      <c r="L27" s="972">
        <f t="shared" si="86"/>
        <v>459</v>
      </c>
      <c r="M27" s="310">
        <f t="shared" si="86"/>
        <v>128</v>
      </c>
      <c r="N27" s="310">
        <f t="shared" si="86"/>
        <v>113</v>
      </c>
      <c r="O27" s="310">
        <f t="shared" si="86"/>
        <v>114</v>
      </c>
      <c r="P27" s="310">
        <f t="shared" si="86"/>
        <v>133</v>
      </c>
      <c r="Q27" s="972">
        <f t="shared" si="86"/>
        <v>488</v>
      </c>
      <c r="R27" s="310">
        <f t="shared" si="86"/>
        <v>141</v>
      </c>
      <c r="S27" s="310">
        <f t="shared" si="86"/>
        <v>117</v>
      </c>
      <c r="T27" s="310">
        <f t="shared" si="86"/>
        <v>116</v>
      </c>
      <c r="U27" s="310">
        <f t="shared" si="86"/>
        <v>123</v>
      </c>
      <c r="V27" s="972">
        <f t="shared" si="86"/>
        <v>497</v>
      </c>
      <c r="W27" s="310">
        <f t="shared" si="86"/>
        <v>140</v>
      </c>
      <c r="X27" s="310">
        <f t="shared" si="86"/>
        <v>116</v>
      </c>
      <c r="Y27" s="310">
        <f t="shared" si="86"/>
        <v>116</v>
      </c>
      <c r="Z27" s="310">
        <f t="shared" si="86"/>
        <v>130</v>
      </c>
      <c r="AA27" s="972">
        <f t="shared" si="86"/>
        <v>502</v>
      </c>
      <c r="AB27" s="310">
        <f t="shared" si="86"/>
        <v>146</v>
      </c>
      <c r="AC27" s="310">
        <f t="shared" si="86"/>
        <v>123</v>
      </c>
      <c r="AD27" s="310">
        <f t="shared" si="86"/>
        <v>133</v>
      </c>
      <c r="AE27" s="310">
        <f t="shared" si="86"/>
        <v>132</v>
      </c>
      <c r="AF27" s="972">
        <f t="shared" si="86"/>
        <v>534</v>
      </c>
      <c r="AG27" s="310">
        <f t="shared" si="86"/>
        <v>159</v>
      </c>
      <c r="AH27" s="310">
        <f t="shared" si="86"/>
        <v>131</v>
      </c>
      <c r="AI27" s="310">
        <f t="shared" si="86"/>
        <v>139</v>
      </c>
      <c r="AJ27" s="310">
        <f t="shared" si="86"/>
        <v>144</v>
      </c>
      <c r="AK27" s="972">
        <f t="shared" si="86"/>
        <v>573</v>
      </c>
      <c r="AL27" s="310">
        <f t="shared" si="86"/>
        <v>160</v>
      </c>
      <c r="AM27" s="310">
        <f t="shared" si="86"/>
        <v>134</v>
      </c>
      <c r="AN27" s="310">
        <f t="shared" si="87" ref="AN27:AQ27">AN116</f>
        <v>141</v>
      </c>
      <c r="AO27" s="310">
        <f t="shared" si="87"/>
        <v>135</v>
      </c>
      <c r="AP27" s="972">
        <f t="shared" si="87"/>
        <v>570</v>
      </c>
      <c r="AQ27" s="310">
        <f t="shared" si="87"/>
        <v>139</v>
      </c>
      <c r="AR27" s="310">
        <f t="shared" si="88" ref="AR27:AU27">AR116</f>
        <v>111</v>
      </c>
      <c r="AS27" s="310">
        <f t="shared" si="88"/>
        <v>123</v>
      </c>
      <c r="AT27" s="310">
        <f t="shared" si="88"/>
        <v>143</v>
      </c>
      <c r="AU27" s="972">
        <f t="shared" si="88"/>
        <v>517</v>
      </c>
      <c r="AV27" s="310">
        <f t="shared" si="89" ref="AV27:AZ27">AV116</f>
        <v>114</v>
      </c>
      <c r="AW27" s="310">
        <f t="shared" si="89"/>
        <v>113</v>
      </c>
      <c r="AX27" s="310">
        <f t="shared" si="89"/>
        <v>114</v>
      </c>
      <c r="AY27" s="310">
        <f t="shared" si="89"/>
        <v>115</v>
      </c>
      <c r="AZ27" s="972">
        <f t="shared" si="89"/>
        <v>455</v>
      </c>
      <c r="BA27" s="310">
        <f t="shared" si="90" ref="BA27:BI27">BA116</f>
        <v>119</v>
      </c>
      <c r="BB27" s="310">
        <f t="shared" si="90"/>
        <v>120</v>
      </c>
      <c r="BC27" s="310">
        <f t="shared" si="90"/>
        <v>122</v>
      </c>
      <c r="BD27" s="310">
        <f t="shared" si="90"/>
        <v>129</v>
      </c>
      <c r="BE27" s="972">
        <f t="shared" si="90"/>
        <v>490</v>
      </c>
      <c r="BF27" s="310">
        <f>BF116</f>
        <v>132</v>
      </c>
      <c r="BG27" s="310">
        <f>BG116</f>
        <v>132</v>
      </c>
      <c r="BH27" s="739">
        <f>BH116</f>
        <v>132</v>
      </c>
      <c r="BI27" s="177">
        <f t="shared" si="90"/>
        <v>145.4875387295082</v>
      </c>
      <c r="BJ27" s="973">
        <f>SUM(BF27,BG27,BH27,BI27)</f>
        <v>541.48753872950817</v>
      </c>
      <c r="BK27" s="177">
        <f>BK116</f>
        <v>118.53423390410958</v>
      </c>
      <c r="BL27" s="177">
        <f>BL116</f>
        <v>100.50082767123287</v>
      </c>
      <c r="BM27" s="177">
        <f>BM116</f>
        <v>146.56830410958904</v>
      </c>
      <c r="BN27" s="177">
        <f>BN116</f>
        <v>147.08900608150685</v>
      </c>
      <c r="BO27" s="973">
        <f>SUM(BK27,BL27,BM27,BN27)</f>
        <v>512.69237176643833</v>
      </c>
      <c r="BP27" s="973">
        <f>BP116</f>
        <v>582.0654747692812</v>
      </c>
      <c r="BQ27" s="973">
        <f>BQ116</f>
        <v>587.99163242500015</v>
      </c>
      <c r="BR27" s="973">
        <f>BR116</f>
        <v>594.09847338309146</v>
      </c>
      <c r="BS27" s="229"/>
    </row>
    <row r="28" spans="1:71" s="224" customFormat="1" ht="15" hidden="1" outlineLevel="1">
      <c r="A28" s="410" t="s">
        <v>407</v>
      </c>
      <c r="B28" s="486"/>
      <c r="C28" s="972">
        <f t="shared" si="91" ref="C28:AN28">C29-C26-C27</f>
        <v>0</v>
      </c>
      <c r="D28" s="972">
        <f t="shared" si="91"/>
        <v>38</v>
      </c>
      <c r="E28" s="972">
        <f t="shared" si="91"/>
        <v>0</v>
      </c>
      <c r="F28" s="972">
        <f t="shared" si="91"/>
        <v>1</v>
      </c>
      <c r="G28" s="972">
        <f t="shared" si="91"/>
        <v>0</v>
      </c>
      <c r="H28" s="310">
        <f t="shared" si="91"/>
        <v>0</v>
      </c>
      <c r="I28" s="310">
        <f t="shared" si="91"/>
        <v>0</v>
      </c>
      <c r="J28" s="310">
        <f t="shared" si="91"/>
        <v>0</v>
      </c>
      <c r="K28" s="310">
        <f t="shared" si="91"/>
        <v>0</v>
      </c>
      <c r="L28" s="972">
        <f t="shared" si="91"/>
        <v>0</v>
      </c>
      <c r="M28" s="310">
        <f t="shared" si="91"/>
        <v>0</v>
      </c>
      <c r="N28" s="310">
        <f t="shared" si="91"/>
        <v>1</v>
      </c>
      <c r="O28" s="310">
        <f t="shared" si="91"/>
        <v>0</v>
      </c>
      <c r="P28" s="310">
        <f t="shared" si="91"/>
        <v>-1</v>
      </c>
      <c r="Q28" s="972">
        <f t="shared" si="91"/>
        <v>0</v>
      </c>
      <c r="R28" s="310">
        <f t="shared" si="91"/>
        <v>0</v>
      </c>
      <c r="S28" s="310">
        <f t="shared" si="91"/>
        <v>0</v>
      </c>
      <c r="T28" s="310">
        <f t="shared" si="91"/>
        <v>0</v>
      </c>
      <c r="U28" s="310">
        <f t="shared" si="91"/>
        <v>0</v>
      </c>
      <c r="V28" s="972">
        <f t="shared" si="91"/>
        <v>0</v>
      </c>
      <c r="W28" s="310">
        <f t="shared" si="91"/>
        <v>0</v>
      </c>
      <c r="X28" s="310">
        <f t="shared" si="91"/>
        <v>0</v>
      </c>
      <c r="Y28" s="310">
        <f t="shared" si="91"/>
        <v>0</v>
      </c>
      <c r="Z28" s="310">
        <f t="shared" si="91"/>
        <v>0</v>
      </c>
      <c r="AA28" s="972">
        <f t="shared" si="91"/>
        <v>0</v>
      </c>
      <c r="AB28" s="310">
        <f t="shared" si="91"/>
        <v>0</v>
      </c>
      <c r="AC28" s="310">
        <f t="shared" si="91"/>
        <v>0</v>
      </c>
      <c r="AD28" s="310">
        <f t="shared" si="91"/>
        <v>0</v>
      </c>
      <c r="AE28" s="310">
        <f t="shared" si="91"/>
        <v>1</v>
      </c>
      <c r="AF28" s="972">
        <f t="shared" si="91"/>
        <v>1</v>
      </c>
      <c r="AG28" s="310">
        <f t="shared" si="91"/>
        <v>-1</v>
      </c>
      <c r="AH28" s="310">
        <f t="shared" si="91"/>
        <v>1</v>
      </c>
      <c r="AI28" s="310">
        <f t="shared" si="91"/>
        <v>-1</v>
      </c>
      <c r="AJ28" s="310">
        <f t="shared" si="91"/>
        <v>1</v>
      </c>
      <c r="AK28" s="972">
        <f t="shared" si="91"/>
        <v>0</v>
      </c>
      <c r="AL28" s="310">
        <f t="shared" si="91"/>
        <v>0</v>
      </c>
      <c r="AM28" s="310">
        <f t="shared" si="91"/>
        <v>0</v>
      </c>
      <c r="AN28" s="310">
        <f t="shared" si="91"/>
        <v>0</v>
      </c>
      <c r="AO28" s="310">
        <f t="shared" si="92" ref="AO28:AQ28">AO29-AO26-AO27</f>
        <v>0</v>
      </c>
      <c r="AP28" s="972">
        <f t="shared" si="92"/>
        <v>0</v>
      </c>
      <c r="AQ28" s="310">
        <f t="shared" si="92"/>
        <v>0</v>
      </c>
      <c r="AR28" s="310">
        <f t="shared" si="93" ref="AR28:AW28">AR29-AR26-AR27</f>
        <v>0</v>
      </c>
      <c r="AS28" s="310">
        <f t="shared" si="93"/>
        <v>1</v>
      </c>
      <c r="AT28" s="310">
        <f t="shared" si="93"/>
        <v>1</v>
      </c>
      <c r="AU28" s="972">
        <f t="shared" si="93"/>
        <v>0</v>
      </c>
      <c r="AV28" s="310">
        <f t="shared" si="93"/>
        <v>-1</v>
      </c>
      <c r="AW28" s="310">
        <f t="shared" si="93"/>
        <v>-1</v>
      </c>
      <c r="AX28" s="310">
        <f t="shared" si="94" ref="AX28:BC28">AX29-AX26-AX27</f>
        <v>0</v>
      </c>
      <c r="AY28" s="310">
        <f t="shared" si="94"/>
        <v>0</v>
      </c>
      <c r="AZ28" s="972">
        <f t="shared" si="94"/>
        <v>-1</v>
      </c>
      <c r="BA28" s="310">
        <f t="shared" si="94"/>
        <v>1</v>
      </c>
      <c r="BB28" s="310">
        <f t="shared" si="94"/>
        <v>-1</v>
      </c>
      <c r="BC28" s="310">
        <f t="shared" si="94"/>
        <v>0</v>
      </c>
      <c r="BD28" s="310">
        <f>BD29-BD26-BD27</f>
        <v>-1</v>
      </c>
      <c r="BE28" s="972">
        <f>BE29-BE26-BE27</f>
        <v>0</v>
      </c>
      <c r="BF28" s="310">
        <f>BF29-BF26-BF27</f>
        <v>0</v>
      </c>
      <c r="BG28" s="310">
        <f>BG29-BG26-BG27</f>
        <v>-1</v>
      </c>
      <c r="BH28" s="739">
        <f>BH29-BH26-BH27</f>
        <v>0</v>
      </c>
      <c r="BI28" s="880">
        <v>0</v>
      </c>
      <c r="BJ28" s="975">
        <f>SUM(BF28,BG28,BH28,BI28)</f>
        <v>-1</v>
      </c>
      <c r="BK28" s="880">
        <v>0</v>
      </c>
      <c r="BL28" s="880">
        <v>0</v>
      </c>
      <c r="BM28" s="880">
        <v>0</v>
      </c>
      <c r="BN28" s="880">
        <v>0</v>
      </c>
      <c r="BO28" s="975">
        <f>SUM(BK28,BL28,BM28,BN28)</f>
        <v>0</v>
      </c>
      <c r="BP28" s="976">
        <v>0</v>
      </c>
      <c r="BQ28" s="976">
        <v>0</v>
      </c>
      <c r="BR28" s="976">
        <v>0</v>
      </c>
      <c r="BS28" s="229"/>
    </row>
    <row r="29" spans="1:71" s="44" customFormat="1" ht="15" collapsed="1">
      <c r="A29" s="108" t="s">
        <v>399</v>
      </c>
      <c r="B29" s="397"/>
      <c r="C29" s="977">
        <f t="shared" si="95" ref="C29:AM29">C174</f>
        <v>942</v>
      </c>
      <c r="D29" s="977">
        <f t="shared" si="95"/>
        <v>1030</v>
      </c>
      <c r="E29" s="977">
        <f t="shared" si="95"/>
        <v>1033</v>
      </c>
      <c r="F29" s="977">
        <f t="shared" si="95"/>
        <v>1117</v>
      </c>
      <c r="G29" s="977">
        <f t="shared" si="95"/>
        <v>1074</v>
      </c>
      <c r="H29" s="100">
        <f t="shared" si="95"/>
        <v>294</v>
      </c>
      <c r="I29" s="100">
        <f t="shared" si="95"/>
        <v>276</v>
      </c>
      <c r="J29" s="100">
        <f t="shared" si="95"/>
        <v>271</v>
      </c>
      <c r="K29" s="100">
        <f t="shared" si="95"/>
        <v>267</v>
      </c>
      <c r="L29" s="977">
        <f t="shared" si="95"/>
        <v>1108</v>
      </c>
      <c r="M29" s="100">
        <f t="shared" si="95"/>
        <v>277</v>
      </c>
      <c r="N29" s="100">
        <f t="shared" si="95"/>
        <v>255</v>
      </c>
      <c r="O29" s="100">
        <f t="shared" si="95"/>
        <v>258</v>
      </c>
      <c r="P29" s="100">
        <f t="shared" si="95"/>
        <v>276</v>
      </c>
      <c r="Q29" s="977">
        <f t="shared" si="95"/>
        <v>1066</v>
      </c>
      <c r="R29" s="100">
        <f t="shared" si="95"/>
        <v>292</v>
      </c>
      <c r="S29" s="100">
        <f t="shared" si="95"/>
        <v>284</v>
      </c>
      <c r="T29" s="100">
        <f t="shared" si="95"/>
        <v>282</v>
      </c>
      <c r="U29" s="100">
        <f t="shared" si="95"/>
        <v>283</v>
      </c>
      <c r="V29" s="977">
        <f t="shared" si="95"/>
        <v>1141</v>
      </c>
      <c r="W29" s="100">
        <f t="shared" si="95"/>
        <v>294</v>
      </c>
      <c r="X29" s="100">
        <f t="shared" si="95"/>
        <v>283</v>
      </c>
      <c r="Y29" s="100">
        <f t="shared" si="95"/>
        <v>271</v>
      </c>
      <c r="Z29" s="100">
        <f t="shared" si="95"/>
        <v>284</v>
      </c>
      <c r="AA29" s="977">
        <f t="shared" si="95"/>
        <v>1132</v>
      </c>
      <c r="AB29" s="100">
        <f t="shared" si="95"/>
        <v>314</v>
      </c>
      <c r="AC29" s="100">
        <f t="shared" si="95"/>
        <v>303</v>
      </c>
      <c r="AD29" s="100">
        <f t="shared" si="95"/>
        <v>315</v>
      </c>
      <c r="AE29" s="100">
        <f t="shared" si="95"/>
        <v>313</v>
      </c>
      <c r="AF29" s="977">
        <f t="shared" si="95"/>
        <v>1245</v>
      </c>
      <c r="AG29" s="100">
        <f t="shared" si="95"/>
        <v>340</v>
      </c>
      <c r="AH29" s="100">
        <f t="shared" si="95"/>
        <v>309</v>
      </c>
      <c r="AI29" s="100">
        <f t="shared" si="95"/>
        <v>317</v>
      </c>
      <c r="AJ29" s="100">
        <f t="shared" si="95"/>
        <v>316</v>
      </c>
      <c r="AK29" s="977">
        <f t="shared" si="95"/>
        <v>1282</v>
      </c>
      <c r="AL29" s="100">
        <f t="shared" si="95"/>
        <v>333</v>
      </c>
      <c r="AM29" s="100">
        <f t="shared" si="95"/>
        <v>289</v>
      </c>
      <c r="AN29" s="100">
        <f t="shared" si="96" ref="AN29:AQ29">AN174</f>
        <v>292</v>
      </c>
      <c r="AO29" s="100">
        <f t="shared" si="96"/>
        <v>300</v>
      </c>
      <c r="AP29" s="977">
        <f t="shared" si="96"/>
        <v>1214</v>
      </c>
      <c r="AQ29" s="100">
        <f t="shared" si="96"/>
        <v>311</v>
      </c>
      <c r="AR29" s="100">
        <f t="shared" si="97" ref="AR29:AW29">AR174</f>
        <v>280</v>
      </c>
      <c r="AS29" s="100">
        <f t="shared" si="97"/>
        <v>278</v>
      </c>
      <c r="AT29" s="100">
        <f t="shared" si="97"/>
        <v>301</v>
      </c>
      <c r="AU29" s="977">
        <f t="shared" si="97"/>
        <v>1170</v>
      </c>
      <c r="AV29" s="100">
        <f t="shared" si="97"/>
        <v>207</v>
      </c>
      <c r="AW29" s="100">
        <f t="shared" si="97"/>
        <v>197</v>
      </c>
      <c r="AX29" s="100">
        <f t="shared" si="98" ref="AX29:BC29">AX174</f>
        <v>194</v>
      </c>
      <c r="AY29" s="100">
        <f t="shared" si="98"/>
        <v>194</v>
      </c>
      <c r="AZ29" s="977">
        <f t="shared" si="98"/>
        <v>792</v>
      </c>
      <c r="BA29" s="100">
        <f t="shared" si="98"/>
        <v>205</v>
      </c>
      <c r="BB29" s="100">
        <f t="shared" si="98"/>
        <v>202</v>
      </c>
      <c r="BC29" s="100">
        <f t="shared" si="98"/>
        <v>201</v>
      </c>
      <c r="BD29" s="100">
        <f>BD174</f>
        <v>208</v>
      </c>
      <c r="BE29" s="977">
        <f>BE174</f>
        <v>816</v>
      </c>
      <c r="BF29" s="100">
        <f>BF174</f>
        <v>215</v>
      </c>
      <c r="BG29" s="100">
        <f>BG174</f>
        <v>208</v>
      </c>
      <c r="BH29" s="741">
        <f>BH174</f>
        <v>214</v>
      </c>
      <c r="BI29" s="185">
        <f>SUM(BI26:BI28)</f>
        <v>302.47565659836067</v>
      </c>
      <c r="BJ29" s="978">
        <f t="shared" si="99" ref="BJ29">SUM(BJ26:BJ28)</f>
        <v>939.47565659836062</v>
      </c>
      <c r="BK29" s="185">
        <f t="shared" si="100" ref="BK29:BR29">SUM(BK26:BK28)</f>
        <v>231.16271982191779</v>
      </c>
      <c r="BL29" s="185">
        <f t="shared" si="100"/>
        <v>212.65259210958902</v>
      </c>
      <c r="BM29" s="185">
        <f t="shared" si="100"/>
        <v>271.01893283287671</v>
      </c>
      <c r="BN29" s="185">
        <f t="shared" si="100"/>
        <v>297.20705956534243</v>
      </c>
      <c r="BO29" s="978">
        <f t="shared" si="100"/>
        <v>1012.041304329726</v>
      </c>
      <c r="BP29" s="978">
        <f t="shared" si="100"/>
        <v>1090.7221593572813</v>
      </c>
      <c r="BQ29" s="978">
        <f t="shared" si="100"/>
        <v>1101.7128838588801</v>
      </c>
      <c r="BR29" s="978">
        <f t="shared" si="100"/>
        <v>1112.9349373313103</v>
      </c>
      <c r="BS29" s="100"/>
    </row>
    <row r="30" spans="1:71" s="224" customFormat="1" ht="15">
      <c r="A30" s="370"/>
      <c r="B30" s="389"/>
      <c r="C30" s="971"/>
      <c r="D30" s="971"/>
      <c r="E30" s="971"/>
      <c r="F30" s="971"/>
      <c r="G30" s="971"/>
      <c r="H30" s="176"/>
      <c r="I30" s="176"/>
      <c r="J30" s="176"/>
      <c r="K30" s="176"/>
      <c r="L30" s="971"/>
      <c r="M30" s="176"/>
      <c r="N30" s="176"/>
      <c r="O30" s="176"/>
      <c r="P30" s="176"/>
      <c r="Q30" s="971"/>
      <c r="R30" s="176"/>
      <c r="S30" s="176"/>
      <c r="T30" s="176"/>
      <c r="U30" s="176"/>
      <c r="V30" s="971"/>
      <c r="W30" s="176"/>
      <c r="X30" s="176"/>
      <c r="Y30" s="176"/>
      <c r="Z30" s="176"/>
      <c r="AA30" s="971"/>
      <c r="AB30" s="176"/>
      <c r="AC30" s="176"/>
      <c r="AD30" s="176"/>
      <c r="AE30" s="176"/>
      <c r="AF30" s="971"/>
      <c r="AG30" s="176"/>
      <c r="AH30" s="176"/>
      <c r="AI30" s="176"/>
      <c r="AJ30" s="176"/>
      <c r="AK30" s="971"/>
      <c r="AL30" s="176"/>
      <c r="AM30" s="176"/>
      <c r="AN30" s="176"/>
      <c r="AO30" s="176"/>
      <c r="AP30" s="971"/>
      <c r="AQ30" s="176"/>
      <c r="AR30" s="176"/>
      <c r="AS30" s="176"/>
      <c r="AT30" s="176"/>
      <c r="AU30" s="971"/>
      <c r="AV30" s="176"/>
      <c r="AW30" s="176"/>
      <c r="AX30" s="176"/>
      <c r="AY30" s="176"/>
      <c r="AZ30" s="971"/>
      <c r="BA30" s="176"/>
      <c r="BB30" s="176"/>
      <c r="BC30" s="176"/>
      <c r="BD30" s="176"/>
      <c r="BE30" s="971"/>
      <c r="BF30" s="176"/>
      <c r="BG30" s="176"/>
      <c r="BH30" s="551"/>
      <c r="BI30" s="176"/>
      <c r="BJ30" s="971"/>
      <c r="BK30" s="176"/>
      <c r="BL30" s="176"/>
      <c r="BM30" s="176"/>
      <c r="BN30" s="176"/>
      <c r="BO30" s="971"/>
      <c r="BP30" s="971"/>
      <c r="BQ30" s="971"/>
      <c r="BR30" s="971"/>
      <c r="BS30" s="229"/>
    </row>
    <row r="31" spans="1:71" s="224" customFormat="1" ht="15">
      <c r="A31" s="362" t="s">
        <v>359</v>
      </c>
      <c r="B31" s="389"/>
      <c r="C31" s="970">
        <f t="shared" si="101" ref="C31:AM31">C87</f>
        <v>1060</v>
      </c>
      <c r="D31" s="970">
        <f t="shared" si="101"/>
        <v>1103</v>
      </c>
      <c r="E31" s="970">
        <f t="shared" si="101"/>
        <v>1179</v>
      </c>
      <c r="F31" s="970">
        <f t="shared" si="101"/>
        <v>1174</v>
      </c>
      <c r="G31" s="970">
        <f t="shared" si="101"/>
        <v>944</v>
      </c>
      <c r="H31" s="229">
        <f t="shared" si="101"/>
        <v>221</v>
      </c>
      <c r="I31" s="229">
        <f t="shared" si="101"/>
        <v>220</v>
      </c>
      <c r="J31" s="229">
        <f t="shared" si="101"/>
        <v>212</v>
      </c>
      <c r="K31" s="229">
        <f t="shared" si="101"/>
        <v>192</v>
      </c>
      <c r="L31" s="970">
        <f t="shared" si="101"/>
        <v>845</v>
      </c>
      <c r="M31" s="229">
        <f t="shared" si="101"/>
        <v>183</v>
      </c>
      <c r="N31" s="229">
        <f t="shared" si="101"/>
        <v>179</v>
      </c>
      <c r="O31" s="229">
        <f t="shared" si="101"/>
        <v>178</v>
      </c>
      <c r="P31" s="229">
        <f t="shared" si="101"/>
        <v>179</v>
      </c>
      <c r="Q31" s="970">
        <f t="shared" si="101"/>
        <v>719</v>
      </c>
      <c r="R31" s="229">
        <f t="shared" si="101"/>
        <v>187</v>
      </c>
      <c r="S31" s="229">
        <f t="shared" si="101"/>
        <v>197</v>
      </c>
      <c r="T31" s="229">
        <f t="shared" si="101"/>
        <v>208</v>
      </c>
      <c r="U31" s="229">
        <f t="shared" si="101"/>
        <v>195</v>
      </c>
      <c r="V31" s="970">
        <f t="shared" si="101"/>
        <v>787</v>
      </c>
      <c r="W31" s="229">
        <f t="shared" si="101"/>
        <v>184</v>
      </c>
      <c r="X31" s="229">
        <f t="shared" si="101"/>
        <v>189</v>
      </c>
      <c r="Y31" s="229">
        <f t="shared" si="101"/>
        <v>186</v>
      </c>
      <c r="Z31" s="229">
        <f t="shared" si="101"/>
        <v>177</v>
      </c>
      <c r="AA31" s="970">
        <f t="shared" si="101"/>
        <v>736</v>
      </c>
      <c r="AB31" s="229">
        <f t="shared" si="101"/>
        <v>190</v>
      </c>
      <c r="AC31" s="229">
        <f t="shared" si="101"/>
        <v>194</v>
      </c>
      <c r="AD31" s="229">
        <f t="shared" si="101"/>
        <v>185</v>
      </c>
      <c r="AE31" s="229">
        <f t="shared" si="101"/>
        <v>166</v>
      </c>
      <c r="AF31" s="970">
        <f t="shared" si="101"/>
        <v>735</v>
      </c>
      <c r="AG31" s="229">
        <f t="shared" si="101"/>
        <v>182</v>
      </c>
      <c r="AH31" s="229">
        <f t="shared" si="101"/>
        <v>179</v>
      </c>
      <c r="AI31" s="229">
        <f t="shared" si="101"/>
        <v>185</v>
      </c>
      <c r="AJ31" s="229">
        <f t="shared" si="101"/>
        <v>185</v>
      </c>
      <c r="AK31" s="970">
        <f t="shared" si="101"/>
        <v>731</v>
      </c>
      <c r="AL31" s="229">
        <f t="shared" si="101"/>
        <v>185</v>
      </c>
      <c r="AM31" s="229">
        <f t="shared" si="101"/>
        <v>184</v>
      </c>
      <c r="AN31" s="229">
        <f t="shared" si="102" ref="AN31:AQ31">AN87</f>
        <v>185</v>
      </c>
      <c r="AO31" s="229">
        <f t="shared" si="102"/>
        <v>186</v>
      </c>
      <c r="AP31" s="970">
        <f t="shared" si="102"/>
        <v>740</v>
      </c>
      <c r="AQ31" s="229">
        <f t="shared" si="102"/>
        <v>187</v>
      </c>
      <c r="AR31" s="229">
        <f t="shared" si="103" ref="AR31:AW31">AR87</f>
        <v>179</v>
      </c>
      <c r="AS31" s="229">
        <f t="shared" si="103"/>
        <v>175</v>
      </c>
      <c r="AT31" s="229">
        <f t="shared" si="103"/>
        <v>165</v>
      </c>
      <c r="AU31" s="970">
        <f t="shared" si="103"/>
        <v>706</v>
      </c>
      <c r="AV31" s="229">
        <f t="shared" si="103"/>
        <v>161</v>
      </c>
      <c r="AW31" s="229">
        <f t="shared" si="103"/>
        <v>142</v>
      </c>
      <c r="AX31" s="229">
        <f t="shared" si="104" ref="AX31:BJ31">AX87</f>
        <v>132</v>
      </c>
      <c r="AY31" s="229">
        <f t="shared" si="104"/>
        <v>128</v>
      </c>
      <c r="AZ31" s="970">
        <f t="shared" si="104"/>
        <v>563</v>
      </c>
      <c r="BA31" s="229">
        <f t="shared" si="105" ref="BA31:BI31">BA87</f>
        <v>138</v>
      </c>
      <c r="BB31" s="229">
        <f t="shared" si="105"/>
        <v>128</v>
      </c>
      <c r="BC31" s="229">
        <f t="shared" si="105"/>
        <v>112</v>
      </c>
      <c r="BD31" s="229">
        <f t="shared" si="105"/>
        <v>114</v>
      </c>
      <c r="BE31" s="970">
        <f t="shared" si="105"/>
        <v>491</v>
      </c>
      <c r="BF31" s="229">
        <f>BF87</f>
        <v>114</v>
      </c>
      <c r="BG31" s="229">
        <f>BG87</f>
        <v>105</v>
      </c>
      <c r="BH31" s="738">
        <f>BH87</f>
        <v>110</v>
      </c>
      <c r="BI31" s="176">
        <f t="shared" si="105"/>
        <v>251.18098859016393</v>
      </c>
      <c r="BJ31" s="971">
        <f t="shared" si="104"/>
        <v>580.18098859016391</v>
      </c>
      <c r="BK31" s="176">
        <f t="shared" si="106" ref="BK31:BR31">BK87</f>
        <v>112.62848591780822</v>
      </c>
      <c r="BL31" s="176">
        <f t="shared" si="106"/>
        <v>112.15176443835617</v>
      </c>
      <c r="BM31" s="176">
        <f t="shared" si="106"/>
        <v>124.45062872328768</v>
      </c>
      <c r="BN31" s="176">
        <f t="shared" si="106"/>
        <v>150.11805348383561</v>
      </c>
      <c r="BO31" s="971">
        <f t="shared" si="106"/>
        <v>499.34893256328769</v>
      </c>
      <c r="BP31" s="971">
        <f t="shared" si="106"/>
        <v>508.65668458800002</v>
      </c>
      <c r="BQ31" s="971">
        <f t="shared" si="106"/>
        <v>513.72125143388007</v>
      </c>
      <c r="BR31" s="971">
        <f t="shared" si="106"/>
        <v>518.83646394821881</v>
      </c>
      <c r="BS31" s="229"/>
    </row>
    <row r="32" spans="1:71" s="224" customFormat="1" ht="15">
      <c r="A32" s="364" t="s">
        <v>344</v>
      </c>
      <c r="B32" s="486"/>
      <c r="C32" s="972">
        <f t="shared" si="107" ref="C32:AM32">C117</f>
        <v>508</v>
      </c>
      <c r="D32" s="972">
        <f t="shared" si="107"/>
        <v>534</v>
      </c>
      <c r="E32" s="972">
        <f t="shared" si="107"/>
        <v>546</v>
      </c>
      <c r="F32" s="972">
        <f t="shared" si="107"/>
        <v>570</v>
      </c>
      <c r="G32" s="972">
        <f t="shared" si="107"/>
        <v>583</v>
      </c>
      <c r="H32" s="310">
        <f t="shared" si="107"/>
        <v>145</v>
      </c>
      <c r="I32" s="310">
        <f t="shared" si="107"/>
        <v>148</v>
      </c>
      <c r="J32" s="310">
        <f t="shared" si="107"/>
        <v>149</v>
      </c>
      <c r="K32" s="310">
        <f t="shared" si="107"/>
        <v>148</v>
      </c>
      <c r="L32" s="972">
        <f t="shared" si="107"/>
        <v>590</v>
      </c>
      <c r="M32" s="310">
        <f t="shared" si="107"/>
        <v>147</v>
      </c>
      <c r="N32" s="310">
        <f t="shared" si="107"/>
        <v>146</v>
      </c>
      <c r="O32" s="310">
        <f t="shared" si="107"/>
        <v>148</v>
      </c>
      <c r="P32" s="310">
        <f t="shared" si="107"/>
        <v>144</v>
      </c>
      <c r="Q32" s="972">
        <f t="shared" si="107"/>
        <v>585</v>
      </c>
      <c r="R32" s="310">
        <f t="shared" si="107"/>
        <v>146</v>
      </c>
      <c r="S32" s="310">
        <f t="shared" si="107"/>
        <v>147</v>
      </c>
      <c r="T32" s="310">
        <f t="shared" si="107"/>
        <v>145</v>
      </c>
      <c r="U32" s="310">
        <f t="shared" si="107"/>
        <v>142</v>
      </c>
      <c r="V32" s="972">
        <f t="shared" si="107"/>
        <v>580</v>
      </c>
      <c r="W32" s="310">
        <f t="shared" si="107"/>
        <v>145</v>
      </c>
      <c r="X32" s="310">
        <f t="shared" si="107"/>
        <v>146</v>
      </c>
      <c r="Y32" s="310">
        <f t="shared" si="107"/>
        <v>146</v>
      </c>
      <c r="Z32" s="310">
        <f t="shared" si="107"/>
        <v>143</v>
      </c>
      <c r="AA32" s="972">
        <f t="shared" si="107"/>
        <v>580</v>
      </c>
      <c r="AB32" s="310">
        <f t="shared" si="107"/>
        <v>147</v>
      </c>
      <c r="AC32" s="310">
        <f t="shared" si="107"/>
        <v>145</v>
      </c>
      <c r="AD32" s="310">
        <f t="shared" si="107"/>
        <v>146</v>
      </c>
      <c r="AE32" s="310">
        <f t="shared" si="107"/>
        <v>147</v>
      </c>
      <c r="AF32" s="972">
        <f t="shared" si="107"/>
        <v>585</v>
      </c>
      <c r="AG32" s="310">
        <f t="shared" si="107"/>
        <v>149</v>
      </c>
      <c r="AH32" s="310">
        <f t="shared" si="107"/>
        <v>150</v>
      </c>
      <c r="AI32" s="310">
        <f t="shared" si="107"/>
        <v>145</v>
      </c>
      <c r="AJ32" s="310">
        <f t="shared" si="107"/>
        <v>146</v>
      </c>
      <c r="AK32" s="972">
        <f t="shared" si="107"/>
        <v>590</v>
      </c>
      <c r="AL32" s="310">
        <f t="shared" si="107"/>
        <v>151</v>
      </c>
      <c r="AM32" s="310">
        <f t="shared" si="107"/>
        <v>148</v>
      </c>
      <c r="AN32" s="310">
        <f t="shared" si="108" ref="AN32:AQ32">AN117</f>
        <v>140</v>
      </c>
      <c r="AO32" s="310">
        <f t="shared" si="108"/>
        <v>137</v>
      </c>
      <c r="AP32" s="972">
        <f t="shared" si="108"/>
        <v>576</v>
      </c>
      <c r="AQ32" s="310">
        <f t="shared" si="108"/>
        <v>139</v>
      </c>
      <c r="AR32" s="310">
        <f t="shared" si="109" ref="AR32:AW32">AR117</f>
        <v>136</v>
      </c>
      <c r="AS32" s="310">
        <f t="shared" si="109"/>
        <v>136</v>
      </c>
      <c r="AT32" s="310">
        <f t="shared" si="109"/>
        <v>138</v>
      </c>
      <c r="AU32" s="972">
        <f t="shared" si="109"/>
        <v>550</v>
      </c>
      <c r="AV32" s="310">
        <f t="shared" si="109"/>
        <v>140</v>
      </c>
      <c r="AW32" s="310">
        <f t="shared" si="109"/>
        <v>137</v>
      </c>
      <c r="AX32" s="310">
        <f t="shared" si="110" ref="AX32:BJ32">AX117</f>
        <v>135</v>
      </c>
      <c r="AY32" s="310">
        <f t="shared" si="110"/>
        <v>142</v>
      </c>
      <c r="AZ32" s="972">
        <f t="shared" si="110"/>
        <v>553</v>
      </c>
      <c r="BA32" s="310">
        <f t="shared" si="111" ref="BA32:BI32">BA117</f>
        <v>142</v>
      </c>
      <c r="BB32" s="310">
        <f t="shared" si="111"/>
        <v>140</v>
      </c>
      <c r="BC32" s="310">
        <f t="shared" si="111"/>
        <v>138</v>
      </c>
      <c r="BD32" s="310">
        <f t="shared" si="111"/>
        <v>142</v>
      </c>
      <c r="BE32" s="972">
        <f t="shared" si="111"/>
        <v>561</v>
      </c>
      <c r="BF32" s="310">
        <f>BF117</f>
        <v>141</v>
      </c>
      <c r="BG32" s="310">
        <f>BG117</f>
        <v>140</v>
      </c>
      <c r="BH32" s="739">
        <f>BH117</f>
        <v>141</v>
      </c>
      <c r="BI32" s="177">
        <f t="shared" si="111"/>
        <v>158.86570321038255</v>
      </c>
      <c r="BJ32" s="973">
        <f t="shared" si="110"/>
        <v>580.86570321038255</v>
      </c>
      <c r="BK32" s="177">
        <f t="shared" si="112" ref="BK32:BR32">BK117</f>
        <v>160.86788886986301</v>
      </c>
      <c r="BL32" s="177">
        <f t="shared" si="112"/>
        <v>117.25096561643836</v>
      </c>
      <c r="BM32" s="177">
        <f t="shared" si="112"/>
        <v>160.04584931506849</v>
      </c>
      <c r="BN32" s="177">
        <f t="shared" si="112"/>
        <v>160.61443192808221</v>
      </c>
      <c r="BO32" s="973">
        <f t="shared" si="112"/>
        <v>598.77913572945204</v>
      </c>
      <c r="BP32" s="973">
        <f t="shared" si="112"/>
        <v>635.58873681703142</v>
      </c>
      <c r="BQ32" s="973">
        <f t="shared" si="112"/>
        <v>642.05982851005786</v>
      </c>
      <c r="BR32" s="973">
        <f t="shared" si="112"/>
        <v>648.72821806199659</v>
      </c>
      <c r="BS32" s="229"/>
    </row>
    <row r="33" spans="1:71" s="224" customFormat="1" ht="15" hidden="1" outlineLevel="1">
      <c r="A33" s="410" t="s">
        <v>408</v>
      </c>
      <c r="B33" s="486"/>
      <c r="C33" s="972">
        <f t="shared" si="113" ref="C33:AN33">C34-C31-C32</f>
        <v>0</v>
      </c>
      <c r="D33" s="972">
        <f t="shared" si="113"/>
        <v>0</v>
      </c>
      <c r="E33" s="972">
        <f t="shared" si="113"/>
        <v>0</v>
      </c>
      <c r="F33" s="972">
        <f t="shared" si="113"/>
        <v>0</v>
      </c>
      <c r="G33" s="972">
        <f t="shared" si="113"/>
        <v>1</v>
      </c>
      <c r="H33" s="310">
        <f t="shared" si="113"/>
        <v>0</v>
      </c>
      <c r="I33" s="310">
        <f t="shared" si="113"/>
        <v>1</v>
      </c>
      <c r="J33" s="310">
        <f t="shared" si="113"/>
        <v>0</v>
      </c>
      <c r="K33" s="310">
        <f t="shared" si="113"/>
        <v>0</v>
      </c>
      <c r="L33" s="972">
        <f t="shared" si="113"/>
        <v>1</v>
      </c>
      <c r="M33" s="310">
        <f t="shared" si="113"/>
        <v>0</v>
      </c>
      <c r="N33" s="310">
        <f t="shared" si="113"/>
        <v>0</v>
      </c>
      <c r="O33" s="310">
        <f t="shared" si="113"/>
        <v>0</v>
      </c>
      <c r="P33" s="310">
        <f t="shared" si="113"/>
        <v>-1</v>
      </c>
      <c r="Q33" s="972">
        <f t="shared" si="113"/>
        <v>-1</v>
      </c>
      <c r="R33" s="310">
        <f t="shared" si="113"/>
        <v>0</v>
      </c>
      <c r="S33" s="310">
        <f t="shared" si="113"/>
        <v>1</v>
      </c>
      <c r="T33" s="310">
        <f t="shared" si="113"/>
        <v>0</v>
      </c>
      <c r="U33" s="310">
        <f t="shared" si="113"/>
        <v>0</v>
      </c>
      <c r="V33" s="972">
        <f t="shared" si="113"/>
        <v>1</v>
      </c>
      <c r="W33" s="310">
        <f t="shared" si="113"/>
        <v>-1</v>
      </c>
      <c r="X33" s="310">
        <f t="shared" si="113"/>
        <v>0</v>
      </c>
      <c r="Y33" s="310">
        <f t="shared" si="113"/>
        <v>0</v>
      </c>
      <c r="Z33" s="310">
        <f t="shared" si="113"/>
        <v>1</v>
      </c>
      <c r="AA33" s="972">
        <f t="shared" si="113"/>
        <v>0</v>
      </c>
      <c r="AB33" s="310">
        <f t="shared" si="113"/>
        <v>0</v>
      </c>
      <c r="AC33" s="310">
        <f t="shared" si="113"/>
        <v>-1</v>
      </c>
      <c r="AD33" s="310">
        <f t="shared" si="113"/>
        <v>0</v>
      </c>
      <c r="AE33" s="310">
        <f t="shared" si="113"/>
        <v>1</v>
      </c>
      <c r="AF33" s="972">
        <f t="shared" si="113"/>
        <v>0</v>
      </c>
      <c r="AG33" s="310">
        <f t="shared" si="113"/>
        <v>0</v>
      </c>
      <c r="AH33" s="310">
        <f t="shared" si="113"/>
        <v>0</v>
      </c>
      <c r="AI33" s="310">
        <f t="shared" si="113"/>
        <v>0</v>
      </c>
      <c r="AJ33" s="310">
        <f t="shared" si="113"/>
        <v>0</v>
      </c>
      <c r="AK33" s="972">
        <f t="shared" si="113"/>
        <v>0</v>
      </c>
      <c r="AL33" s="310">
        <f t="shared" si="113"/>
        <v>0</v>
      </c>
      <c r="AM33" s="310">
        <f t="shared" si="113"/>
        <v>0</v>
      </c>
      <c r="AN33" s="310">
        <f t="shared" si="113"/>
        <v>0</v>
      </c>
      <c r="AO33" s="310">
        <f t="shared" si="114" ref="AO33:AQ33">AO34-AO31-AO32</f>
        <v>0</v>
      </c>
      <c r="AP33" s="972">
        <f t="shared" si="114"/>
        <v>0</v>
      </c>
      <c r="AQ33" s="310">
        <f t="shared" si="114"/>
        <v>0</v>
      </c>
      <c r="AR33" s="310">
        <f t="shared" si="115" ref="AR33:AW33">AR34-AR31-AR32</f>
        <v>0</v>
      </c>
      <c r="AS33" s="310">
        <f t="shared" si="115"/>
        <v>0</v>
      </c>
      <c r="AT33" s="310">
        <f t="shared" si="115"/>
        <v>1</v>
      </c>
      <c r="AU33" s="972">
        <f t="shared" si="115"/>
        <v>0</v>
      </c>
      <c r="AV33" s="310">
        <f t="shared" si="115"/>
        <v>-1</v>
      </c>
      <c r="AW33" s="310">
        <f t="shared" si="115"/>
        <v>0</v>
      </c>
      <c r="AX33" s="310">
        <f t="shared" si="116" ref="AX33:BC33">AX34-AX31-AX32</f>
        <v>0</v>
      </c>
      <c r="AY33" s="310">
        <f t="shared" si="116"/>
        <v>1</v>
      </c>
      <c r="AZ33" s="972">
        <f t="shared" si="116"/>
        <v>1</v>
      </c>
      <c r="BA33" s="310">
        <f t="shared" si="116"/>
        <v>0</v>
      </c>
      <c r="BB33" s="310">
        <f t="shared" si="116"/>
        <v>0</v>
      </c>
      <c r="BC33" s="310">
        <f t="shared" si="116"/>
        <v>0</v>
      </c>
      <c r="BD33" s="310">
        <f>BD34-BD31-BD32</f>
        <v>-2</v>
      </c>
      <c r="BE33" s="972">
        <f>BE34-BE31-BE32</f>
        <v>0</v>
      </c>
      <c r="BF33" s="310">
        <f>BF34-BF31-BF32</f>
        <v>0</v>
      </c>
      <c r="BG33" s="310">
        <f>BG34-BG31-BG32</f>
        <v>1</v>
      </c>
      <c r="BH33" s="739">
        <f>BH34-BH31-BH32</f>
        <v>0</v>
      </c>
      <c r="BI33" s="880">
        <v>0</v>
      </c>
      <c r="BJ33" s="975">
        <f>SUM(BF33,BG33,BH33,BI33)</f>
        <v>1</v>
      </c>
      <c r="BK33" s="880">
        <v>0</v>
      </c>
      <c r="BL33" s="880">
        <v>0</v>
      </c>
      <c r="BM33" s="880">
        <v>0</v>
      </c>
      <c r="BN33" s="880">
        <v>0</v>
      </c>
      <c r="BO33" s="975">
        <f>SUM(BK33,BL33,BM33,BN33)</f>
        <v>0</v>
      </c>
      <c r="BP33" s="976">
        <v>0</v>
      </c>
      <c r="BQ33" s="976">
        <v>0</v>
      </c>
      <c r="BR33" s="976">
        <v>0</v>
      </c>
      <c r="BS33" s="229"/>
    </row>
    <row r="34" spans="1:71" s="44" customFormat="1" ht="15" collapsed="1">
      <c r="A34" s="108" t="s">
        <v>400</v>
      </c>
      <c r="B34" s="397"/>
      <c r="C34" s="977">
        <f t="shared" si="117" ref="C34:AM34">C175</f>
        <v>1568</v>
      </c>
      <c r="D34" s="977">
        <f t="shared" si="117"/>
        <v>1637</v>
      </c>
      <c r="E34" s="977">
        <f t="shared" si="117"/>
        <v>1725</v>
      </c>
      <c r="F34" s="977">
        <f t="shared" si="117"/>
        <v>1744</v>
      </c>
      <c r="G34" s="977">
        <f t="shared" si="117"/>
        <v>1528</v>
      </c>
      <c r="H34" s="100">
        <f t="shared" si="117"/>
        <v>366</v>
      </c>
      <c r="I34" s="100">
        <f t="shared" si="117"/>
        <v>369</v>
      </c>
      <c r="J34" s="100">
        <f t="shared" si="117"/>
        <v>361</v>
      </c>
      <c r="K34" s="100">
        <f t="shared" si="117"/>
        <v>340</v>
      </c>
      <c r="L34" s="977">
        <f t="shared" si="117"/>
        <v>1436</v>
      </c>
      <c r="M34" s="100">
        <f t="shared" si="117"/>
        <v>330</v>
      </c>
      <c r="N34" s="100">
        <f t="shared" si="117"/>
        <v>325</v>
      </c>
      <c r="O34" s="100">
        <f t="shared" si="117"/>
        <v>326</v>
      </c>
      <c r="P34" s="100">
        <f t="shared" si="117"/>
        <v>322</v>
      </c>
      <c r="Q34" s="977">
        <f t="shared" si="117"/>
        <v>1303</v>
      </c>
      <c r="R34" s="100">
        <f t="shared" si="117"/>
        <v>333</v>
      </c>
      <c r="S34" s="100">
        <f t="shared" si="117"/>
        <v>345</v>
      </c>
      <c r="T34" s="100">
        <f t="shared" si="117"/>
        <v>353</v>
      </c>
      <c r="U34" s="100">
        <f t="shared" si="117"/>
        <v>337</v>
      </c>
      <c r="V34" s="977">
        <f t="shared" si="117"/>
        <v>1368</v>
      </c>
      <c r="W34" s="100">
        <f t="shared" si="117"/>
        <v>328</v>
      </c>
      <c r="X34" s="100">
        <f t="shared" si="117"/>
        <v>335</v>
      </c>
      <c r="Y34" s="100">
        <f t="shared" si="117"/>
        <v>332</v>
      </c>
      <c r="Z34" s="100">
        <f t="shared" si="117"/>
        <v>321</v>
      </c>
      <c r="AA34" s="977">
        <f t="shared" si="117"/>
        <v>1316</v>
      </c>
      <c r="AB34" s="100">
        <f t="shared" si="117"/>
        <v>337</v>
      </c>
      <c r="AC34" s="100">
        <f t="shared" si="117"/>
        <v>338</v>
      </c>
      <c r="AD34" s="100">
        <f t="shared" si="117"/>
        <v>331</v>
      </c>
      <c r="AE34" s="100">
        <f t="shared" si="117"/>
        <v>314</v>
      </c>
      <c r="AF34" s="977">
        <f t="shared" si="117"/>
        <v>1320</v>
      </c>
      <c r="AG34" s="100">
        <f t="shared" si="117"/>
        <v>331</v>
      </c>
      <c r="AH34" s="100">
        <f t="shared" si="117"/>
        <v>329</v>
      </c>
      <c r="AI34" s="100">
        <f t="shared" si="117"/>
        <v>330</v>
      </c>
      <c r="AJ34" s="100">
        <f t="shared" si="117"/>
        <v>331</v>
      </c>
      <c r="AK34" s="977">
        <f t="shared" si="117"/>
        <v>1321</v>
      </c>
      <c r="AL34" s="100">
        <f t="shared" si="117"/>
        <v>336</v>
      </c>
      <c r="AM34" s="100">
        <f t="shared" si="117"/>
        <v>332</v>
      </c>
      <c r="AN34" s="100">
        <f t="shared" si="118" ref="AN34:AQ34">AN175</f>
        <v>325</v>
      </c>
      <c r="AO34" s="100">
        <f t="shared" si="118"/>
        <v>323</v>
      </c>
      <c r="AP34" s="977">
        <f t="shared" si="118"/>
        <v>1316</v>
      </c>
      <c r="AQ34" s="100">
        <f t="shared" si="118"/>
        <v>326</v>
      </c>
      <c r="AR34" s="100">
        <f t="shared" si="119" ref="AR34:AW34">AR175</f>
        <v>315</v>
      </c>
      <c r="AS34" s="100">
        <f t="shared" si="119"/>
        <v>311</v>
      </c>
      <c r="AT34" s="100">
        <f t="shared" si="119"/>
        <v>304</v>
      </c>
      <c r="AU34" s="977">
        <f t="shared" si="119"/>
        <v>1256</v>
      </c>
      <c r="AV34" s="100">
        <f t="shared" si="119"/>
        <v>300</v>
      </c>
      <c r="AW34" s="100">
        <f t="shared" si="119"/>
        <v>279</v>
      </c>
      <c r="AX34" s="100">
        <f t="shared" si="120" ref="AX34:BC34">AX175</f>
        <v>267</v>
      </c>
      <c r="AY34" s="100">
        <f t="shared" si="120"/>
        <v>271</v>
      </c>
      <c r="AZ34" s="977">
        <f t="shared" si="120"/>
        <v>1117</v>
      </c>
      <c r="BA34" s="100">
        <f t="shared" si="120"/>
        <v>280</v>
      </c>
      <c r="BB34" s="100">
        <f t="shared" si="120"/>
        <v>268</v>
      </c>
      <c r="BC34" s="100">
        <f t="shared" si="120"/>
        <v>250</v>
      </c>
      <c r="BD34" s="100">
        <f>BD175</f>
        <v>254</v>
      </c>
      <c r="BE34" s="977">
        <f>BE175</f>
        <v>1052</v>
      </c>
      <c r="BF34" s="100">
        <f>BF175</f>
        <v>255</v>
      </c>
      <c r="BG34" s="100">
        <f>BG175</f>
        <v>246</v>
      </c>
      <c r="BH34" s="741">
        <f>BH175</f>
        <v>251</v>
      </c>
      <c r="BI34" s="185">
        <f>SUM(BI31:BI33)</f>
        <v>410.04669180054645</v>
      </c>
      <c r="BJ34" s="978">
        <f t="shared" si="121" ref="BJ34">SUM(BJ31:BJ33)</f>
        <v>1162.0466918005463</v>
      </c>
      <c r="BK34" s="185">
        <f t="shared" si="122" ref="BK34:BR34">SUM(BK31:BK33)</f>
        <v>273.49637478767124</v>
      </c>
      <c r="BL34" s="185">
        <f t="shared" si="122"/>
        <v>229.40273005479452</v>
      </c>
      <c r="BM34" s="185">
        <f t="shared" si="122"/>
        <v>284.49647803835614</v>
      </c>
      <c r="BN34" s="185">
        <f t="shared" si="122"/>
        <v>310.73248541191782</v>
      </c>
      <c r="BO34" s="978">
        <f t="shared" si="122"/>
        <v>1098.1280682927397</v>
      </c>
      <c r="BP34" s="978">
        <f t="shared" si="122"/>
        <v>1144.2454214050315</v>
      </c>
      <c r="BQ34" s="978">
        <f t="shared" si="122"/>
        <v>1155.781079943938</v>
      </c>
      <c r="BR34" s="978">
        <f t="shared" si="122"/>
        <v>1167.5646820102154</v>
      </c>
      <c r="BS34" s="100"/>
    </row>
    <row r="35" spans="1:71" s="224" customFormat="1" ht="15">
      <c r="A35" s="370"/>
      <c r="B35" s="389"/>
      <c r="C35" s="971"/>
      <c r="D35" s="971"/>
      <c r="E35" s="971"/>
      <c r="F35" s="971"/>
      <c r="G35" s="971"/>
      <c r="H35" s="176"/>
      <c r="I35" s="176"/>
      <c r="J35" s="176"/>
      <c r="K35" s="176"/>
      <c r="L35" s="971"/>
      <c r="M35" s="176"/>
      <c r="N35" s="176"/>
      <c r="O35" s="176"/>
      <c r="P35" s="176"/>
      <c r="Q35" s="971"/>
      <c r="R35" s="176"/>
      <c r="S35" s="176"/>
      <c r="T35" s="176"/>
      <c r="U35" s="176"/>
      <c r="V35" s="971"/>
      <c r="W35" s="176"/>
      <c r="X35" s="176"/>
      <c r="Y35" s="176"/>
      <c r="Z35" s="176"/>
      <c r="AA35" s="971"/>
      <c r="AB35" s="176"/>
      <c r="AC35" s="176"/>
      <c r="AD35" s="176"/>
      <c r="AE35" s="176"/>
      <c r="AF35" s="971"/>
      <c r="AG35" s="176"/>
      <c r="AH35" s="176"/>
      <c r="AI35" s="176"/>
      <c r="AJ35" s="176"/>
      <c r="AK35" s="971"/>
      <c r="AL35" s="176"/>
      <c r="AM35" s="176"/>
      <c r="AN35" s="176"/>
      <c r="AO35" s="176"/>
      <c r="AP35" s="971"/>
      <c r="AQ35" s="176"/>
      <c r="AR35" s="176"/>
      <c r="AS35" s="176"/>
      <c r="AT35" s="176"/>
      <c r="AU35" s="971"/>
      <c r="AV35" s="176"/>
      <c r="AW35" s="176"/>
      <c r="AX35" s="176"/>
      <c r="AY35" s="176"/>
      <c r="AZ35" s="971"/>
      <c r="BA35" s="176"/>
      <c r="BB35" s="176"/>
      <c r="BC35" s="176"/>
      <c r="BD35" s="176"/>
      <c r="BE35" s="971"/>
      <c r="BF35" s="176"/>
      <c r="BG35" s="176"/>
      <c r="BH35" s="551"/>
      <c r="BI35" s="176"/>
      <c r="BJ35" s="971"/>
      <c r="BK35" s="176"/>
      <c r="BL35" s="176"/>
      <c r="BM35" s="176"/>
      <c r="BN35" s="176"/>
      <c r="BO35" s="971"/>
      <c r="BP35" s="971"/>
      <c r="BQ35" s="971"/>
      <c r="BR35" s="971"/>
      <c r="BS35" s="229"/>
    </row>
    <row r="36" spans="1:71" s="224" customFormat="1" ht="15">
      <c r="A36" s="362" t="s">
        <v>360</v>
      </c>
      <c r="B36" s="389"/>
      <c r="C36" s="970">
        <f t="shared" si="123" ref="C36:AM36">C88</f>
        <v>1357</v>
      </c>
      <c r="D36" s="970">
        <f t="shared" si="123"/>
        <v>1441</v>
      </c>
      <c r="E36" s="970">
        <f t="shared" si="123"/>
        <v>1658</v>
      </c>
      <c r="F36" s="970">
        <f t="shared" si="123"/>
        <v>1763</v>
      </c>
      <c r="G36" s="970">
        <f t="shared" si="123"/>
        <v>1551</v>
      </c>
      <c r="H36" s="229">
        <f t="shared" si="123"/>
        <v>379</v>
      </c>
      <c r="I36" s="229">
        <f t="shared" si="123"/>
        <v>366</v>
      </c>
      <c r="J36" s="229">
        <f t="shared" si="123"/>
        <v>387</v>
      </c>
      <c r="K36" s="229">
        <f t="shared" si="123"/>
        <v>387</v>
      </c>
      <c r="L36" s="970">
        <f t="shared" si="123"/>
        <v>1519</v>
      </c>
      <c r="M36" s="229">
        <f t="shared" si="123"/>
        <v>320</v>
      </c>
      <c r="N36" s="229">
        <f t="shared" si="123"/>
        <v>343</v>
      </c>
      <c r="O36" s="229">
        <f t="shared" si="123"/>
        <v>344</v>
      </c>
      <c r="P36" s="229">
        <f t="shared" si="123"/>
        <v>329</v>
      </c>
      <c r="Q36" s="970">
        <f t="shared" si="123"/>
        <v>1336</v>
      </c>
      <c r="R36" s="229">
        <f t="shared" si="123"/>
        <v>350</v>
      </c>
      <c r="S36" s="229">
        <f t="shared" si="123"/>
        <v>397</v>
      </c>
      <c r="T36" s="229">
        <f t="shared" si="123"/>
        <v>409</v>
      </c>
      <c r="U36" s="229">
        <f t="shared" si="123"/>
        <v>382</v>
      </c>
      <c r="V36" s="970">
        <f t="shared" si="123"/>
        <v>1538</v>
      </c>
      <c r="W36" s="229">
        <f t="shared" si="123"/>
        <v>366</v>
      </c>
      <c r="X36" s="229">
        <f t="shared" si="123"/>
        <v>370</v>
      </c>
      <c r="Y36" s="229">
        <f t="shared" si="123"/>
        <v>383</v>
      </c>
      <c r="Z36" s="229">
        <f t="shared" si="123"/>
        <v>402</v>
      </c>
      <c r="AA36" s="970">
        <f t="shared" si="123"/>
        <v>1521</v>
      </c>
      <c r="AB36" s="229">
        <f t="shared" si="123"/>
        <v>393</v>
      </c>
      <c r="AC36" s="229">
        <f t="shared" si="123"/>
        <v>397</v>
      </c>
      <c r="AD36" s="229">
        <f t="shared" si="123"/>
        <v>420</v>
      </c>
      <c r="AE36" s="229">
        <f t="shared" si="123"/>
        <v>430</v>
      </c>
      <c r="AF36" s="970">
        <f t="shared" si="123"/>
        <v>1640</v>
      </c>
      <c r="AG36" s="229">
        <f t="shared" si="123"/>
        <v>405</v>
      </c>
      <c r="AH36" s="229">
        <f t="shared" si="123"/>
        <v>420</v>
      </c>
      <c r="AI36" s="229">
        <f t="shared" si="123"/>
        <v>442</v>
      </c>
      <c r="AJ36" s="229">
        <f t="shared" si="123"/>
        <v>467</v>
      </c>
      <c r="AK36" s="970">
        <f t="shared" si="123"/>
        <v>1734</v>
      </c>
      <c r="AL36" s="229">
        <f t="shared" si="123"/>
        <v>404</v>
      </c>
      <c r="AM36" s="229">
        <f t="shared" si="123"/>
        <v>420</v>
      </c>
      <c r="AN36" s="229">
        <f t="shared" si="124" ref="AN36:AQ36">AN88</f>
        <v>500</v>
      </c>
      <c r="AO36" s="229">
        <f t="shared" si="124"/>
        <v>549</v>
      </c>
      <c r="AP36" s="970">
        <f t="shared" si="124"/>
        <v>1873</v>
      </c>
      <c r="AQ36" s="229">
        <f t="shared" si="124"/>
        <v>460</v>
      </c>
      <c r="AR36" s="229">
        <f t="shared" si="125" ref="AR36:AU36">AR88</f>
        <v>438</v>
      </c>
      <c r="AS36" s="229">
        <f t="shared" si="125"/>
        <v>462</v>
      </c>
      <c r="AT36" s="229">
        <f t="shared" si="125"/>
        <v>488</v>
      </c>
      <c r="AU36" s="970">
        <f t="shared" si="125"/>
        <v>1849</v>
      </c>
      <c r="AV36" s="229">
        <f t="shared" si="126" ref="AV36:AZ36">AV88</f>
        <v>409</v>
      </c>
      <c r="AW36" s="229">
        <f t="shared" si="126"/>
        <v>383</v>
      </c>
      <c r="AX36" s="229">
        <f t="shared" si="126"/>
        <v>347</v>
      </c>
      <c r="AY36" s="229">
        <f t="shared" si="126"/>
        <v>377</v>
      </c>
      <c r="AZ36" s="970">
        <f t="shared" si="126"/>
        <v>1517</v>
      </c>
      <c r="BA36" s="229">
        <f t="shared" si="127" ref="BA36:BI36">BA88</f>
        <v>326</v>
      </c>
      <c r="BB36" s="229">
        <f t="shared" si="127"/>
        <v>319</v>
      </c>
      <c r="BC36" s="229">
        <f t="shared" si="127"/>
        <v>315</v>
      </c>
      <c r="BD36" s="229">
        <f t="shared" si="127"/>
        <v>338</v>
      </c>
      <c r="BE36" s="970">
        <f t="shared" si="127"/>
        <v>1299</v>
      </c>
      <c r="BF36" s="229">
        <f>BF88</f>
        <v>248</v>
      </c>
      <c r="BG36" s="229">
        <f>BG88</f>
        <v>252</v>
      </c>
      <c r="BH36" s="738">
        <f>BH88</f>
        <v>285</v>
      </c>
      <c r="BI36" s="176">
        <f t="shared" si="127"/>
        <v>376.77148288524592</v>
      </c>
      <c r="BJ36" s="971">
        <f>SUM(BF36,BG36,BH36,BI36)</f>
        <v>1161.7714828852459</v>
      </c>
      <c r="BK36" s="176">
        <f>BK88</f>
        <v>270.30836620273971</v>
      </c>
      <c r="BL36" s="176">
        <f>BL88</f>
        <v>269.1642346520548</v>
      </c>
      <c r="BM36" s="176">
        <f>BM88</f>
        <v>298.68150893589041</v>
      </c>
      <c r="BN36" s="176">
        <f>BN88</f>
        <v>360.28332836120546</v>
      </c>
      <c r="BO36" s="971">
        <f>SUM(BK36,BL36,BM36,BN36)</f>
        <v>1198.4374381518905</v>
      </c>
      <c r="BP36" s="971">
        <f>BP88</f>
        <v>1220.7760430112</v>
      </c>
      <c r="BQ36" s="971">
        <f>BQ88</f>
        <v>1232.931003441312</v>
      </c>
      <c r="BR36" s="971">
        <f>BR88</f>
        <v>1245.2075134757251</v>
      </c>
      <c r="BS36" s="229"/>
    </row>
    <row r="37" spans="1:71" s="224" customFormat="1" ht="15">
      <c r="A37" s="362" t="s">
        <v>345</v>
      </c>
      <c r="B37" s="389"/>
      <c r="C37" s="970">
        <f t="shared" si="128" ref="C37:AM37">C118</f>
        <v>689</v>
      </c>
      <c r="D37" s="970">
        <f t="shared" si="128"/>
        <v>742</v>
      </c>
      <c r="E37" s="970">
        <f t="shared" si="128"/>
        <v>795</v>
      </c>
      <c r="F37" s="970">
        <f t="shared" si="128"/>
        <v>827</v>
      </c>
      <c r="G37" s="970">
        <f t="shared" si="128"/>
        <v>848</v>
      </c>
      <c r="H37" s="229">
        <f t="shared" si="128"/>
        <v>191</v>
      </c>
      <c r="I37" s="229">
        <f t="shared" si="128"/>
        <v>209</v>
      </c>
      <c r="J37" s="229">
        <f t="shared" si="128"/>
        <v>216</v>
      </c>
      <c r="K37" s="229">
        <f t="shared" si="128"/>
        <v>268</v>
      </c>
      <c r="L37" s="970">
        <f t="shared" si="128"/>
        <v>884</v>
      </c>
      <c r="M37" s="229">
        <f t="shared" si="128"/>
        <v>238</v>
      </c>
      <c r="N37" s="229">
        <f t="shared" si="128"/>
        <v>234</v>
      </c>
      <c r="O37" s="229">
        <f t="shared" si="128"/>
        <v>237</v>
      </c>
      <c r="P37" s="229">
        <f t="shared" si="128"/>
        <v>277</v>
      </c>
      <c r="Q37" s="970">
        <f t="shared" si="128"/>
        <v>986</v>
      </c>
      <c r="R37" s="229">
        <f t="shared" si="128"/>
        <v>235</v>
      </c>
      <c r="S37" s="229">
        <f t="shared" si="128"/>
        <v>240</v>
      </c>
      <c r="T37" s="229">
        <f t="shared" si="128"/>
        <v>243</v>
      </c>
      <c r="U37" s="229">
        <f t="shared" si="128"/>
        <v>295</v>
      </c>
      <c r="V37" s="970">
        <f t="shared" si="128"/>
        <v>1013</v>
      </c>
      <c r="W37" s="229">
        <f t="shared" si="128"/>
        <v>264</v>
      </c>
      <c r="X37" s="229">
        <f t="shared" si="128"/>
        <v>263</v>
      </c>
      <c r="Y37" s="229">
        <f t="shared" si="128"/>
        <v>266</v>
      </c>
      <c r="Z37" s="229">
        <f t="shared" si="128"/>
        <v>284</v>
      </c>
      <c r="AA37" s="970">
        <f t="shared" si="128"/>
        <v>1077</v>
      </c>
      <c r="AB37" s="229">
        <f t="shared" si="128"/>
        <v>277</v>
      </c>
      <c r="AC37" s="229">
        <f t="shared" si="128"/>
        <v>258</v>
      </c>
      <c r="AD37" s="229">
        <f t="shared" si="128"/>
        <v>281</v>
      </c>
      <c r="AE37" s="229">
        <f t="shared" si="128"/>
        <v>336</v>
      </c>
      <c r="AF37" s="970">
        <f t="shared" si="128"/>
        <v>1152</v>
      </c>
      <c r="AG37" s="229">
        <f t="shared" si="128"/>
        <v>288</v>
      </c>
      <c r="AH37" s="229">
        <f t="shared" si="128"/>
        <v>290</v>
      </c>
      <c r="AI37" s="229">
        <f t="shared" si="128"/>
        <v>301</v>
      </c>
      <c r="AJ37" s="229">
        <f t="shared" si="128"/>
        <v>365</v>
      </c>
      <c r="AK37" s="970">
        <f t="shared" si="128"/>
        <v>1244</v>
      </c>
      <c r="AL37" s="229">
        <f t="shared" si="128"/>
        <v>337</v>
      </c>
      <c r="AM37" s="229">
        <f t="shared" si="128"/>
        <v>302</v>
      </c>
      <c r="AN37" s="229">
        <f t="shared" si="129" ref="AN37:AQ37">AN118</f>
        <v>316</v>
      </c>
      <c r="AO37" s="229">
        <f t="shared" si="129"/>
        <v>431</v>
      </c>
      <c r="AP37" s="970">
        <f t="shared" si="129"/>
        <v>1386</v>
      </c>
      <c r="AQ37" s="229">
        <f t="shared" si="129"/>
        <v>347</v>
      </c>
      <c r="AR37" s="229">
        <f t="shared" si="130" ref="AR37:AU37">AR118</f>
        <v>354</v>
      </c>
      <c r="AS37" s="229">
        <f t="shared" si="130"/>
        <v>370</v>
      </c>
      <c r="AT37" s="229">
        <f t="shared" si="130"/>
        <v>427</v>
      </c>
      <c r="AU37" s="970">
        <f t="shared" si="130"/>
        <v>1498</v>
      </c>
      <c r="AV37" s="229">
        <f t="shared" si="131" ref="AV37:AZ37">AV118</f>
        <v>387</v>
      </c>
      <c r="AW37" s="229">
        <f t="shared" si="131"/>
        <v>377</v>
      </c>
      <c r="AX37" s="229">
        <f t="shared" si="131"/>
        <v>389</v>
      </c>
      <c r="AY37" s="229">
        <f t="shared" si="131"/>
        <v>411</v>
      </c>
      <c r="AZ37" s="970">
        <f t="shared" si="131"/>
        <v>1564</v>
      </c>
      <c r="BA37" s="229">
        <f t="shared" si="132" ref="BA37:BI37">BA118</f>
        <v>395</v>
      </c>
      <c r="BB37" s="229">
        <f t="shared" si="132"/>
        <v>389</v>
      </c>
      <c r="BC37" s="229">
        <f t="shared" si="132"/>
        <v>414</v>
      </c>
      <c r="BD37" s="229">
        <f t="shared" si="132"/>
        <v>442</v>
      </c>
      <c r="BE37" s="970">
        <f t="shared" si="132"/>
        <v>1640</v>
      </c>
      <c r="BF37" s="229">
        <f>BF118</f>
        <v>384</v>
      </c>
      <c r="BG37" s="229">
        <f>BG118</f>
        <v>350</v>
      </c>
      <c r="BH37" s="738">
        <f>BH118</f>
        <v>367</v>
      </c>
      <c r="BI37" s="176">
        <f t="shared" si="132"/>
        <v>351.17681762295086</v>
      </c>
      <c r="BJ37" s="971">
        <f>SUM(BF37,BG37,BH37,BI37)</f>
        <v>1452.1768176229509</v>
      </c>
      <c r="BK37" s="176">
        <f>BK118</f>
        <v>338.6692397260274</v>
      </c>
      <c r="BL37" s="176">
        <f>BL118</f>
        <v>335.00275890410961</v>
      </c>
      <c r="BM37" s="176">
        <f>BM118</f>
        <v>336.93863013698632</v>
      </c>
      <c r="BN37" s="176">
        <f>BN118</f>
        <v>338.13564616438362</v>
      </c>
      <c r="BO37" s="971">
        <f>SUM(BK37,BL37,BM37,BN37)</f>
        <v>1348.7462749315071</v>
      </c>
      <c r="BP37" s="971">
        <f>BP118</f>
        <v>1338.0815511937501</v>
      </c>
      <c r="BQ37" s="971">
        <f>BQ118</f>
        <v>1351.7049021264374</v>
      </c>
      <c r="BR37" s="971">
        <f>BR118</f>
        <v>1365.7436169726243</v>
      </c>
      <c r="BS37" s="229"/>
    </row>
    <row r="38" spans="1:71" s="224" customFormat="1" ht="15">
      <c r="A38" s="364" t="s">
        <v>374</v>
      </c>
      <c r="B38" s="486"/>
      <c r="C38" s="972">
        <f t="shared" si="133" ref="C38:AM38">C145</f>
        <v>0</v>
      </c>
      <c r="D38" s="972">
        <f t="shared" si="133"/>
        <v>0</v>
      </c>
      <c r="E38" s="972">
        <f t="shared" si="133"/>
        <v>0</v>
      </c>
      <c r="F38" s="972">
        <f t="shared" si="133"/>
        <v>0</v>
      </c>
      <c r="G38" s="972">
        <f t="shared" si="133"/>
        <v>0</v>
      </c>
      <c r="H38" s="310">
        <f t="shared" si="133"/>
        <v>0</v>
      </c>
      <c r="I38" s="310">
        <f t="shared" si="133"/>
        <v>0</v>
      </c>
      <c r="J38" s="310">
        <f t="shared" si="133"/>
        <v>0</v>
      </c>
      <c r="K38" s="310">
        <f t="shared" si="133"/>
        <v>0</v>
      </c>
      <c r="L38" s="972">
        <f t="shared" si="133"/>
        <v>0</v>
      </c>
      <c r="M38" s="310">
        <f t="shared" si="133"/>
        <v>0</v>
      </c>
      <c r="N38" s="310">
        <f t="shared" si="133"/>
        <v>0</v>
      </c>
      <c r="O38" s="310">
        <f t="shared" si="133"/>
        <v>0</v>
      </c>
      <c r="P38" s="310">
        <f t="shared" si="133"/>
        <v>0</v>
      </c>
      <c r="Q38" s="972">
        <f t="shared" si="133"/>
        <v>112</v>
      </c>
      <c r="R38" s="310">
        <f t="shared" si="133"/>
        <v>0</v>
      </c>
      <c r="S38" s="310">
        <f t="shared" si="133"/>
        <v>0</v>
      </c>
      <c r="T38" s="310">
        <f t="shared" si="133"/>
        <v>0</v>
      </c>
      <c r="U38" s="310">
        <f t="shared" si="133"/>
        <v>0</v>
      </c>
      <c r="V38" s="972">
        <f t="shared" si="133"/>
        <v>165</v>
      </c>
      <c r="W38" s="310">
        <f t="shared" si="133"/>
        <v>35</v>
      </c>
      <c r="X38" s="310">
        <f t="shared" si="133"/>
        <v>36</v>
      </c>
      <c r="Y38" s="310">
        <f t="shared" si="133"/>
        <v>37</v>
      </c>
      <c r="Z38" s="310">
        <f t="shared" si="133"/>
        <v>46</v>
      </c>
      <c r="AA38" s="972">
        <f t="shared" si="133"/>
        <v>154</v>
      </c>
      <c r="AB38" s="310">
        <f t="shared" si="133"/>
        <v>43</v>
      </c>
      <c r="AC38" s="310">
        <f t="shared" si="133"/>
        <v>45</v>
      </c>
      <c r="AD38" s="310">
        <f t="shared" si="133"/>
        <v>36</v>
      </c>
      <c r="AE38" s="310">
        <f t="shared" si="133"/>
        <v>35</v>
      </c>
      <c r="AF38" s="972">
        <f t="shared" si="133"/>
        <v>159</v>
      </c>
      <c r="AG38" s="310">
        <f t="shared" si="133"/>
        <v>33</v>
      </c>
      <c r="AH38" s="310">
        <f t="shared" si="133"/>
        <v>40</v>
      </c>
      <c r="AI38" s="310">
        <f t="shared" si="133"/>
        <v>32</v>
      </c>
      <c r="AJ38" s="310">
        <f t="shared" si="133"/>
        <v>32</v>
      </c>
      <c r="AK38" s="972">
        <f t="shared" si="133"/>
        <v>137</v>
      </c>
      <c r="AL38" s="310">
        <f t="shared" si="133"/>
        <v>29</v>
      </c>
      <c r="AM38" s="310">
        <f t="shared" si="133"/>
        <v>40</v>
      </c>
      <c r="AN38" s="310">
        <f t="shared" si="134" ref="AN38:AQ38">AN145</f>
        <v>35</v>
      </c>
      <c r="AO38" s="310">
        <f t="shared" si="134"/>
        <v>51</v>
      </c>
      <c r="AP38" s="972">
        <f t="shared" si="134"/>
        <v>155</v>
      </c>
      <c r="AQ38" s="310">
        <f t="shared" si="134"/>
        <v>22</v>
      </c>
      <c r="AR38" s="310">
        <f t="shared" si="135" ref="AR38:AU38">AR145</f>
        <v>42</v>
      </c>
      <c r="AS38" s="310">
        <f t="shared" si="135"/>
        <v>32</v>
      </c>
      <c r="AT38" s="310">
        <f t="shared" si="135"/>
        <v>41</v>
      </c>
      <c r="AU38" s="972">
        <f t="shared" si="135"/>
        <v>142</v>
      </c>
      <c r="AV38" s="310">
        <f t="shared" si="136" ref="AV38:AZ38">AV145</f>
        <v>40</v>
      </c>
      <c r="AW38" s="310">
        <f t="shared" si="136"/>
        <v>44</v>
      </c>
      <c r="AX38" s="310">
        <f t="shared" si="136"/>
        <v>45</v>
      </c>
      <c r="AY38" s="310">
        <f t="shared" si="136"/>
        <v>53</v>
      </c>
      <c r="AZ38" s="972">
        <f t="shared" si="136"/>
        <v>182</v>
      </c>
      <c r="BA38" s="310">
        <f t="shared" si="137" ref="BA38:BI38">BA145</f>
        <v>57</v>
      </c>
      <c r="BB38" s="310">
        <f t="shared" si="137"/>
        <v>60</v>
      </c>
      <c r="BC38" s="310">
        <f t="shared" si="137"/>
        <v>59</v>
      </c>
      <c r="BD38" s="310">
        <f t="shared" si="137"/>
        <v>97</v>
      </c>
      <c r="BE38" s="972">
        <f t="shared" si="137"/>
        <v>273</v>
      </c>
      <c r="BF38" s="310">
        <f>BF145</f>
        <v>107</v>
      </c>
      <c r="BG38" s="310">
        <f>BG145</f>
        <v>95</v>
      </c>
      <c r="BH38" s="739">
        <f>BH145</f>
        <v>97</v>
      </c>
      <c r="BI38" s="177">
        <f t="shared" si="137"/>
        <v>32</v>
      </c>
      <c r="BJ38" s="973">
        <f>SUM(BF38,BG38,BH38,BI38)</f>
        <v>331</v>
      </c>
      <c r="BK38" s="177">
        <f>BK145</f>
        <v>32</v>
      </c>
      <c r="BL38" s="177">
        <f>BL145</f>
        <v>32</v>
      </c>
      <c r="BM38" s="177">
        <f>BM145</f>
        <v>32</v>
      </c>
      <c r="BN38" s="177">
        <f>BN145</f>
        <v>32</v>
      </c>
      <c r="BO38" s="973">
        <f>SUM(BK38,BL38,BM38,BN38)</f>
        <v>128</v>
      </c>
      <c r="BP38" s="973">
        <f>BP145</f>
        <v>130</v>
      </c>
      <c r="BQ38" s="973">
        <f>BQ145</f>
        <v>130</v>
      </c>
      <c r="BR38" s="973">
        <f>BR145</f>
        <v>130</v>
      </c>
      <c r="BS38" s="229"/>
    </row>
    <row r="39" spans="1:71" s="224" customFormat="1" ht="15" hidden="1" outlineLevel="1">
      <c r="A39" s="407" t="s">
        <v>409</v>
      </c>
      <c r="B39" s="487"/>
      <c r="C39" s="974">
        <f t="shared" si="138" ref="C39:AN39">C40-C36-C37-C38</f>
        <v>83</v>
      </c>
      <c r="D39" s="974">
        <f t="shared" si="138"/>
        <v>42</v>
      </c>
      <c r="E39" s="974">
        <f t="shared" si="138"/>
        <v>65</v>
      </c>
      <c r="F39" s="974">
        <f t="shared" si="138"/>
        <v>20</v>
      </c>
      <c r="G39" s="974">
        <f t="shared" si="138"/>
        <v>16</v>
      </c>
      <c r="H39" s="313">
        <f t="shared" si="138"/>
        <v>6</v>
      </c>
      <c r="I39" s="313">
        <f t="shared" si="138"/>
        <v>6</v>
      </c>
      <c r="J39" s="313">
        <f t="shared" si="138"/>
        <v>-5</v>
      </c>
      <c r="K39" s="313">
        <f t="shared" si="138"/>
        <v>29</v>
      </c>
      <c r="L39" s="974">
        <f t="shared" si="138"/>
        <v>36</v>
      </c>
      <c r="M39" s="313">
        <f t="shared" si="138"/>
        <v>13</v>
      </c>
      <c r="N39" s="313">
        <f t="shared" si="138"/>
        <v>245</v>
      </c>
      <c r="O39" s="313">
        <f t="shared" si="138"/>
        <v>17</v>
      </c>
      <c r="P39" s="313">
        <f t="shared" si="138"/>
        <v>9</v>
      </c>
      <c r="Q39" s="974">
        <f t="shared" si="138"/>
        <v>172</v>
      </c>
      <c r="R39" s="313">
        <f t="shared" si="138"/>
        <v>34</v>
      </c>
      <c r="S39" s="313">
        <f t="shared" si="138"/>
        <v>17</v>
      </c>
      <c r="T39" s="313">
        <f t="shared" si="138"/>
        <v>23</v>
      </c>
      <c r="U39" s="313">
        <f t="shared" si="138"/>
        <v>171</v>
      </c>
      <c r="V39" s="974">
        <f t="shared" si="138"/>
        <v>80</v>
      </c>
      <c r="W39" s="313">
        <f t="shared" si="138"/>
        <v>10</v>
      </c>
      <c r="X39" s="313">
        <f t="shared" si="138"/>
        <v>-4</v>
      </c>
      <c r="Y39" s="313">
        <f t="shared" si="138"/>
        <v>0</v>
      </c>
      <c r="Z39" s="313">
        <f t="shared" si="138"/>
        <v>22</v>
      </c>
      <c r="AA39" s="974">
        <f t="shared" si="138"/>
        <v>28</v>
      </c>
      <c r="AB39" s="313">
        <f t="shared" si="138"/>
        <v>20</v>
      </c>
      <c r="AC39" s="313">
        <f t="shared" si="138"/>
        <v>32</v>
      </c>
      <c r="AD39" s="313">
        <f t="shared" si="138"/>
        <v>-7</v>
      </c>
      <c r="AE39" s="313">
        <f t="shared" si="138"/>
        <v>-8</v>
      </c>
      <c r="AF39" s="974">
        <f t="shared" si="138"/>
        <v>37</v>
      </c>
      <c r="AG39" s="313">
        <f t="shared" si="138"/>
        <v>-7</v>
      </c>
      <c r="AH39" s="313">
        <f t="shared" si="138"/>
        <v>-7</v>
      </c>
      <c r="AI39" s="313">
        <f t="shared" si="138"/>
        <v>-6</v>
      </c>
      <c r="AJ39" s="313">
        <f t="shared" si="138"/>
        <v>-6</v>
      </c>
      <c r="AK39" s="974">
        <f t="shared" si="138"/>
        <v>-26</v>
      </c>
      <c r="AL39" s="313">
        <f t="shared" si="138"/>
        <v>9</v>
      </c>
      <c r="AM39" s="313">
        <f t="shared" si="138"/>
        <v>-6</v>
      </c>
      <c r="AN39" s="313">
        <f t="shared" si="138"/>
        <v>-4</v>
      </c>
      <c r="AO39" s="313">
        <f t="shared" si="139" ref="AO39:AQ39">AO40-AO36-AO37-AO38</f>
        <v>7</v>
      </c>
      <c r="AP39" s="974">
        <f t="shared" si="139"/>
        <v>6</v>
      </c>
      <c r="AQ39" s="313">
        <f t="shared" si="139"/>
        <v>3</v>
      </c>
      <c r="AR39" s="313">
        <f t="shared" si="140" ref="AR39:AW39">AR40-AR36-AR37-AR38</f>
        <v>47</v>
      </c>
      <c r="AS39" s="313">
        <f t="shared" si="140"/>
        <v>5</v>
      </c>
      <c r="AT39" s="313">
        <f t="shared" si="140"/>
        <v>6</v>
      </c>
      <c r="AU39" s="974">
        <f t="shared" si="140"/>
        <v>55</v>
      </c>
      <c r="AV39" s="313">
        <f t="shared" si="140"/>
        <v>-3</v>
      </c>
      <c r="AW39" s="313">
        <f t="shared" si="140"/>
        <v>-2</v>
      </c>
      <c r="AX39" s="313">
        <f t="shared" si="141" ref="AX39:BC39">AX40-AX36-AX37-AX38</f>
        <v>-2</v>
      </c>
      <c r="AY39" s="313">
        <f t="shared" si="141"/>
        <v>-6</v>
      </c>
      <c r="AZ39" s="974">
        <f t="shared" si="141"/>
        <v>-14</v>
      </c>
      <c r="BA39" s="313">
        <f t="shared" si="141"/>
        <v>-3</v>
      </c>
      <c r="BB39" s="313">
        <f t="shared" si="141"/>
        <v>-40</v>
      </c>
      <c r="BC39" s="313">
        <f t="shared" si="141"/>
        <v>-3</v>
      </c>
      <c r="BD39" s="313">
        <f>BD40-BD36-BD37-BD38</f>
        <v>0</v>
      </c>
      <c r="BE39" s="974">
        <f>BE40-BE36-BE37-BE38</f>
        <v>-47</v>
      </c>
      <c r="BF39" s="313">
        <f>BF40-BF36-BF37-BF38</f>
        <v>0</v>
      </c>
      <c r="BG39" s="313">
        <f>BG40-BG36-BG37-BG38</f>
        <v>-3</v>
      </c>
      <c r="BH39" s="740">
        <f>BH40-BH36-BH37-BH38</f>
        <v>-2</v>
      </c>
      <c r="BI39" s="880">
        <v>3</v>
      </c>
      <c r="BJ39" s="975">
        <f>SUM(BF39,BG39,BH39,BI39)</f>
        <v>-2</v>
      </c>
      <c r="BK39" s="880">
        <v>3</v>
      </c>
      <c r="BL39" s="880">
        <v>3</v>
      </c>
      <c r="BM39" s="880">
        <v>3</v>
      </c>
      <c r="BN39" s="880">
        <v>3</v>
      </c>
      <c r="BO39" s="975">
        <f>SUM(BK39,BL39,BM39,BN39)</f>
        <v>12</v>
      </c>
      <c r="BP39" s="976">
        <v>12</v>
      </c>
      <c r="BQ39" s="976">
        <v>12</v>
      </c>
      <c r="BR39" s="976">
        <v>12</v>
      </c>
      <c r="BS39" s="229"/>
    </row>
    <row r="40" spans="1:71" s="44" customFormat="1" ht="15" collapsed="1">
      <c r="A40" s="108" t="s">
        <v>403</v>
      </c>
      <c r="B40" s="397"/>
      <c r="C40" s="977">
        <f t="shared" si="142" ref="C40:AM40">+C176+C178</f>
        <v>2129</v>
      </c>
      <c r="D40" s="977">
        <f t="shared" si="142"/>
        <v>2225</v>
      </c>
      <c r="E40" s="977">
        <f t="shared" si="142"/>
        <v>2518</v>
      </c>
      <c r="F40" s="977">
        <f t="shared" si="142"/>
        <v>2610</v>
      </c>
      <c r="G40" s="977">
        <f t="shared" si="142"/>
        <v>2415</v>
      </c>
      <c r="H40" s="100">
        <f t="shared" si="142"/>
        <v>576</v>
      </c>
      <c r="I40" s="100">
        <f t="shared" si="142"/>
        <v>581</v>
      </c>
      <c r="J40" s="100">
        <f t="shared" si="142"/>
        <v>598</v>
      </c>
      <c r="K40" s="100">
        <f t="shared" si="142"/>
        <v>684</v>
      </c>
      <c r="L40" s="977">
        <f t="shared" si="142"/>
        <v>2439</v>
      </c>
      <c r="M40" s="100">
        <f t="shared" si="142"/>
        <v>571</v>
      </c>
      <c r="N40" s="100">
        <f t="shared" si="142"/>
        <v>822</v>
      </c>
      <c r="O40" s="100">
        <f t="shared" si="142"/>
        <v>598</v>
      </c>
      <c r="P40" s="100">
        <f t="shared" si="142"/>
        <v>615</v>
      </c>
      <c r="Q40" s="977">
        <f t="shared" si="142"/>
        <v>2606</v>
      </c>
      <c r="R40" s="100">
        <f t="shared" si="142"/>
        <v>619</v>
      </c>
      <c r="S40" s="100">
        <f t="shared" si="142"/>
        <v>654</v>
      </c>
      <c r="T40" s="100">
        <f t="shared" si="142"/>
        <v>675</v>
      </c>
      <c r="U40" s="100">
        <f t="shared" si="142"/>
        <v>848</v>
      </c>
      <c r="V40" s="977">
        <f t="shared" si="142"/>
        <v>2796</v>
      </c>
      <c r="W40" s="100">
        <f t="shared" si="142"/>
        <v>675</v>
      </c>
      <c r="X40" s="100">
        <f t="shared" si="142"/>
        <v>665</v>
      </c>
      <c r="Y40" s="100">
        <f t="shared" si="142"/>
        <v>686</v>
      </c>
      <c r="Z40" s="100">
        <f t="shared" si="142"/>
        <v>754</v>
      </c>
      <c r="AA40" s="977">
        <f t="shared" si="142"/>
        <v>2780</v>
      </c>
      <c r="AB40" s="100">
        <f t="shared" si="142"/>
        <v>733</v>
      </c>
      <c r="AC40" s="100">
        <f t="shared" si="142"/>
        <v>732</v>
      </c>
      <c r="AD40" s="100">
        <f t="shared" si="142"/>
        <v>730</v>
      </c>
      <c r="AE40" s="100">
        <f t="shared" si="142"/>
        <v>793</v>
      </c>
      <c r="AF40" s="977">
        <f t="shared" si="142"/>
        <v>2988</v>
      </c>
      <c r="AG40" s="100">
        <f t="shared" si="142"/>
        <v>719</v>
      </c>
      <c r="AH40" s="100">
        <f t="shared" si="142"/>
        <v>743</v>
      </c>
      <c r="AI40" s="100">
        <f t="shared" si="142"/>
        <v>769</v>
      </c>
      <c r="AJ40" s="100">
        <f t="shared" si="142"/>
        <v>858</v>
      </c>
      <c r="AK40" s="977">
        <f t="shared" si="142"/>
        <v>3089</v>
      </c>
      <c r="AL40" s="100">
        <f t="shared" si="142"/>
        <v>779</v>
      </c>
      <c r="AM40" s="100">
        <f t="shared" si="142"/>
        <v>756</v>
      </c>
      <c r="AN40" s="100">
        <f t="shared" si="143" ref="AN40:AQ40">+AN176+AN178</f>
        <v>847</v>
      </c>
      <c r="AO40" s="100">
        <f t="shared" si="143"/>
        <v>1038</v>
      </c>
      <c r="AP40" s="977">
        <f t="shared" si="143"/>
        <v>3420</v>
      </c>
      <c r="AQ40" s="100">
        <f t="shared" si="143"/>
        <v>832</v>
      </c>
      <c r="AR40" s="100">
        <f t="shared" si="144" ref="AR40:AW40">+AR176+AR178</f>
        <v>881</v>
      </c>
      <c r="AS40" s="100">
        <f t="shared" si="144"/>
        <v>869</v>
      </c>
      <c r="AT40" s="100">
        <f t="shared" si="144"/>
        <v>962</v>
      </c>
      <c r="AU40" s="977">
        <f t="shared" si="144"/>
        <v>3544</v>
      </c>
      <c r="AV40" s="100">
        <f t="shared" si="144"/>
        <v>833</v>
      </c>
      <c r="AW40" s="100">
        <f t="shared" si="144"/>
        <v>802</v>
      </c>
      <c r="AX40" s="100">
        <f t="shared" si="145" ref="AX40:BC40">+AX176+AX178</f>
        <v>779</v>
      </c>
      <c r="AY40" s="100">
        <f t="shared" si="145"/>
        <v>835</v>
      </c>
      <c r="AZ40" s="977">
        <f t="shared" si="145"/>
        <v>3249</v>
      </c>
      <c r="BA40" s="100">
        <f t="shared" si="145"/>
        <v>775</v>
      </c>
      <c r="BB40" s="100">
        <f t="shared" si="145"/>
        <v>728</v>
      </c>
      <c r="BC40" s="100">
        <f t="shared" si="145"/>
        <v>785</v>
      </c>
      <c r="BD40" s="100">
        <f>+BD176+BD178</f>
        <v>877</v>
      </c>
      <c r="BE40" s="977">
        <f>+BE176+BE178</f>
        <v>3165</v>
      </c>
      <c r="BF40" s="100">
        <f>+BF176+BF178</f>
        <v>739</v>
      </c>
      <c r="BG40" s="100">
        <f>+BG176+BG178</f>
        <v>694</v>
      </c>
      <c r="BH40" s="741">
        <f>+BH176+BH178</f>
        <v>747</v>
      </c>
      <c r="BI40" s="185">
        <f>SUM(BI36:BI39)</f>
        <v>762.94830050819678</v>
      </c>
      <c r="BJ40" s="978">
        <f t="shared" si="146" ref="BJ40">SUM(BJ36:BJ39)</f>
        <v>2942.9483005081966</v>
      </c>
      <c r="BK40" s="185">
        <f t="shared" si="147" ref="BK40:BR40">SUM(BK36:BK39)</f>
        <v>643.97760592876716</v>
      </c>
      <c r="BL40" s="185">
        <f t="shared" si="147"/>
        <v>639.16699355616447</v>
      </c>
      <c r="BM40" s="185">
        <f t="shared" si="147"/>
        <v>670.62013907287678</v>
      </c>
      <c r="BN40" s="185">
        <f t="shared" si="147"/>
        <v>733.41897452558908</v>
      </c>
      <c r="BO40" s="978">
        <f t="shared" si="147"/>
        <v>2687.1837130833974</v>
      </c>
      <c r="BP40" s="978">
        <f t="shared" si="147"/>
        <v>2700.8575942049501</v>
      </c>
      <c r="BQ40" s="978">
        <f t="shared" si="147"/>
        <v>2726.6359055677494</v>
      </c>
      <c r="BR40" s="978">
        <f t="shared" si="147"/>
        <v>2752.9511304483494</v>
      </c>
      <c r="BS40" s="100"/>
    </row>
    <row r="41" spans="1:71" s="44" customFormat="1" ht="15">
      <c r="A41" s="368"/>
      <c r="B41" s="397"/>
      <c r="C41" s="978"/>
      <c r="D41" s="978"/>
      <c r="E41" s="978"/>
      <c r="F41" s="978"/>
      <c r="G41" s="978"/>
      <c r="H41" s="185"/>
      <c r="I41" s="185"/>
      <c r="J41" s="185"/>
      <c r="K41" s="185"/>
      <c r="L41" s="978"/>
      <c r="M41" s="185"/>
      <c r="N41" s="185"/>
      <c r="O41" s="185"/>
      <c r="P41" s="185"/>
      <c r="Q41" s="978"/>
      <c r="R41" s="185"/>
      <c r="S41" s="185"/>
      <c r="T41" s="185"/>
      <c r="U41" s="185"/>
      <c r="V41" s="978"/>
      <c r="W41" s="185"/>
      <c r="X41" s="185"/>
      <c r="Y41" s="185"/>
      <c r="Z41" s="185"/>
      <c r="AA41" s="978"/>
      <c r="AB41" s="185"/>
      <c r="AC41" s="185"/>
      <c r="AD41" s="185"/>
      <c r="AE41" s="185"/>
      <c r="AF41" s="978"/>
      <c r="AG41" s="185"/>
      <c r="AH41" s="185"/>
      <c r="AI41" s="185"/>
      <c r="AJ41" s="185"/>
      <c r="AK41" s="978"/>
      <c r="AL41" s="185"/>
      <c r="AM41" s="185"/>
      <c r="AN41" s="185"/>
      <c r="AO41" s="185"/>
      <c r="AP41" s="978"/>
      <c r="AQ41" s="185"/>
      <c r="AR41" s="185"/>
      <c r="AS41" s="185"/>
      <c r="AT41" s="185"/>
      <c r="AU41" s="978"/>
      <c r="AV41" s="185"/>
      <c r="AW41" s="185"/>
      <c r="AX41" s="185"/>
      <c r="AY41" s="185"/>
      <c r="AZ41" s="978"/>
      <c r="BA41" s="185"/>
      <c r="BB41" s="185"/>
      <c r="BC41" s="185"/>
      <c r="BD41" s="185"/>
      <c r="BE41" s="978"/>
      <c r="BF41" s="185"/>
      <c r="BG41" s="185"/>
      <c r="BH41" s="552"/>
      <c r="BI41" s="185"/>
      <c r="BJ41" s="978"/>
      <c r="BK41" s="185"/>
      <c r="BL41" s="185"/>
      <c r="BM41" s="185"/>
      <c r="BN41" s="185"/>
      <c r="BO41" s="978"/>
      <c r="BP41" s="978"/>
      <c r="BQ41" s="978"/>
      <c r="BR41" s="978"/>
      <c r="BS41" s="100"/>
    </row>
    <row r="42" spans="1:71" s="625" customFormat="1" ht="15">
      <c r="A42" s="813" t="s">
        <v>396</v>
      </c>
      <c r="B42" s="813"/>
      <c r="C42" s="828"/>
      <c r="D42" s="828"/>
      <c r="E42" s="828"/>
      <c r="F42" s="828"/>
      <c r="G42" s="828"/>
      <c r="H42" s="828"/>
      <c r="I42" s="828"/>
      <c r="J42" s="828"/>
      <c r="K42" s="828"/>
      <c r="L42" s="828"/>
      <c r="M42" s="828"/>
      <c r="N42" s="828"/>
      <c r="O42" s="828"/>
      <c r="P42" s="828"/>
      <c r="Q42" s="828"/>
      <c r="R42" s="828"/>
      <c r="S42" s="828"/>
      <c r="T42" s="828"/>
      <c r="U42" s="828"/>
      <c r="V42" s="828"/>
      <c r="W42" s="828"/>
      <c r="X42" s="828"/>
      <c r="Y42" s="828"/>
      <c r="Z42" s="828"/>
      <c r="AA42" s="828"/>
      <c r="AB42" s="828"/>
      <c r="AC42" s="828"/>
      <c r="AD42" s="828"/>
      <c r="AE42" s="828"/>
      <c r="AF42" s="828"/>
      <c r="AG42" s="828"/>
      <c r="AH42" s="828"/>
      <c r="AI42" s="828"/>
      <c r="AJ42" s="828"/>
      <c r="AK42" s="828"/>
      <c r="AL42" s="828"/>
      <c r="AM42" s="828"/>
      <c r="AN42" s="828"/>
      <c r="AO42" s="828"/>
      <c r="AP42" s="828"/>
      <c r="AQ42" s="828"/>
      <c r="AR42" s="828"/>
      <c r="AS42" s="828"/>
      <c r="AT42" s="828"/>
      <c r="AU42" s="828"/>
      <c r="AV42" s="828"/>
      <c r="AW42" s="828"/>
      <c r="AX42" s="828"/>
      <c r="AY42" s="828"/>
      <c r="AZ42" s="828"/>
      <c r="BA42" s="828"/>
      <c r="BB42" s="828"/>
      <c r="BC42" s="828"/>
      <c r="BD42" s="828"/>
      <c r="BE42" s="828"/>
      <c r="BF42" s="828"/>
      <c r="BG42" s="828"/>
      <c r="BH42" s="829"/>
      <c r="BI42" s="830"/>
      <c r="BJ42" s="830"/>
      <c r="BK42" s="830"/>
      <c r="BL42" s="830"/>
      <c r="BM42" s="830"/>
      <c r="BN42" s="830"/>
      <c r="BO42" s="830"/>
      <c r="BP42" s="828"/>
      <c r="BQ42" s="828"/>
      <c r="BR42" s="830"/>
      <c r="BS42" s="373"/>
    </row>
    <row r="43" spans="1:71" s="44" customFormat="1" ht="15" hidden="1" outlineLevel="1">
      <c r="A43" s="368" t="s">
        <v>18</v>
      </c>
      <c r="B43" s="397"/>
      <c r="C43" s="978">
        <f t="shared" si="148" ref="C43:AY43">+C437</f>
        <v>69245</v>
      </c>
      <c r="D43" s="978">
        <f t="shared" si="148"/>
        <v>82456</v>
      </c>
      <c r="E43" s="978">
        <f t="shared" si="148"/>
        <v>94593</v>
      </c>
      <c r="F43" s="978">
        <f t="shared" si="148"/>
        <v>97720</v>
      </c>
      <c r="G43" s="978">
        <f t="shared" si="148"/>
        <v>89402</v>
      </c>
      <c r="H43" s="185">
        <f t="shared" si="148"/>
        <v>92890</v>
      </c>
      <c r="I43" s="185">
        <f t="shared" si="148"/>
        <v>95424</v>
      </c>
      <c r="J43" s="185">
        <f t="shared" si="148"/>
        <v>90200</v>
      </c>
      <c r="K43" s="185">
        <f t="shared" si="148"/>
        <v>83933</v>
      </c>
      <c r="L43" s="978">
        <f t="shared" si="148"/>
        <v>83933</v>
      </c>
      <c r="M43" s="185">
        <f t="shared" si="148"/>
        <v>85564</v>
      </c>
      <c r="N43" s="185">
        <f t="shared" si="148"/>
        <v>84581</v>
      </c>
      <c r="O43" s="185">
        <f t="shared" si="148"/>
        <v>87185</v>
      </c>
      <c r="P43" s="185">
        <f t="shared" si="148"/>
        <v>87631</v>
      </c>
      <c r="Q43" s="978">
        <f t="shared" si="148"/>
        <v>87631</v>
      </c>
      <c r="R43" s="185">
        <f t="shared" si="148"/>
        <v>94128</v>
      </c>
      <c r="S43" s="185">
        <f t="shared" si="148"/>
        <v>103066</v>
      </c>
      <c r="T43" s="185">
        <f t="shared" si="148"/>
        <v>105556</v>
      </c>
      <c r="U43" s="185">
        <f t="shared" si="148"/>
        <v>93726</v>
      </c>
      <c r="V43" s="978">
        <f t="shared" si="148"/>
        <v>93726</v>
      </c>
      <c r="W43" s="185">
        <f t="shared" si="148"/>
        <v>97624</v>
      </c>
      <c r="X43" s="185">
        <f t="shared" si="148"/>
        <v>98458</v>
      </c>
      <c r="Y43" s="185">
        <f t="shared" si="148"/>
        <v>98713</v>
      </c>
      <c r="Z43" s="185">
        <f t="shared" si="148"/>
        <v>99147</v>
      </c>
      <c r="AA43" s="978">
        <f t="shared" si="148"/>
        <v>99147</v>
      </c>
      <c r="AB43" s="185">
        <f t="shared" si="148"/>
        <v>105399</v>
      </c>
      <c r="AC43" s="185">
        <f t="shared" si="148"/>
        <v>102310</v>
      </c>
      <c r="AD43" s="185">
        <f t="shared" si="148"/>
        <v>100584</v>
      </c>
      <c r="AE43" s="185">
        <f t="shared" si="148"/>
        <v>103188</v>
      </c>
      <c r="AF43" s="978">
        <f t="shared" si="148"/>
        <v>103188</v>
      </c>
      <c r="AG43" s="185">
        <f t="shared" si="148"/>
        <v>103680</v>
      </c>
      <c r="AH43" s="185">
        <f t="shared" si="148"/>
        <v>106989</v>
      </c>
      <c r="AI43" s="185">
        <f t="shared" si="148"/>
        <v>107530</v>
      </c>
      <c r="AJ43" s="185">
        <f t="shared" si="148"/>
        <v>106554</v>
      </c>
      <c r="AK43" s="978">
        <f t="shared" si="148"/>
        <v>106554</v>
      </c>
      <c r="AL43" s="185">
        <f t="shared" si="148"/>
        <v>107552</v>
      </c>
      <c r="AM43" s="185">
        <f t="shared" si="148"/>
        <v>109103</v>
      </c>
      <c r="AN43" s="185">
        <f t="shared" si="148"/>
        <v>111587</v>
      </c>
      <c r="AO43" s="185">
        <f t="shared" si="148"/>
        <v>114391</v>
      </c>
      <c r="AP43" s="978">
        <f t="shared" si="148"/>
        <v>114391</v>
      </c>
      <c r="AQ43" s="185">
        <f t="shared" si="148"/>
        <v>107905</v>
      </c>
      <c r="AR43" s="185">
        <f t="shared" si="148"/>
        <v>108286</v>
      </c>
      <c r="AS43" s="185">
        <f t="shared" si="148"/>
        <v>107443</v>
      </c>
      <c r="AT43" s="185">
        <f t="shared" si="148"/>
        <v>105072</v>
      </c>
      <c r="AU43" s="978">
        <f t="shared" si="148"/>
        <v>105072</v>
      </c>
      <c r="AV43" s="185">
        <f t="shared" si="148"/>
        <v>99643</v>
      </c>
      <c r="AW43" s="185">
        <f t="shared" si="148"/>
        <v>90618</v>
      </c>
      <c r="AX43" s="185">
        <f t="shared" si="148"/>
        <v>86540</v>
      </c>
      <c r="AY43" s="185">
        <f t="shared" si="148"/>
        <v>93258</v>
      </c>
      <c r="AZ43" s="978">
        <f t="shared" si="149" ref="AZ43:BE43">+AZ437</f>
        <v>93258</v>
      </c>
      <c r="BA43" s="185">
        <f t="shared" si="149"/>
        <v>99933</v>
      </c>
      <c r="BB43" s="185">
        <f t="shared" si="149"/>
        <v>93807</v>
      </c>
      <c r="BC43" s="185">
        <f t="shared" si="149"/>
        <v>86028</v>
      </c>
      <c r="BD43" s="185">
        <f t="shared" si="149"/>
        <v>91599</v>
      </c>
      <c r="BE43" s="978">
        <f t="shared" si="149"/>
        <v>91599</v>
      </c>
      <c r="BF43" s="185">
        <f>+BF437</f>
        <v>85364</v>
      </c>
      <c r="BG43" s="185">
        <f>+BG437</f>
        <v>77353</v>
      </c>
      <c r="BH43" s="552">
        <f>+BH437</f>
        <v>87554</v>
      </c>
      <c r="BI43" s="185">
        <f>BH43+INDEX(MO_FPB_ChangeInFPB,0,COLUMN())</f>
        <v>88263.855802999999</v>
      </c>
      <c r="BJ43" s="978">
        <f>BI43</f>
        <v>88263.855802999999</v>
      </c>
      <c r="BK43" s="185">
        <f>BJ43+INDEX(MO_FPB_ChangeInFPB,0,COLUMN())</f>
        <v>88539.927505999993</v>
      </c>
      <c r="BL43" s="185">
        <f>BK43+INDEX(MO_FPB_ChangeInFPB,0,COLUMN())</f>
        <v>88816.139518999989</v>
      </c>
      <c r="BM43" s="185">
        <f>BL43+INDEX(MO_FPB_ChangeInFPB,0,COLUMN())</f>
        <v>89129.457331999991</v>
      </c>
      <c r="BN43" s="185">
        <f>BM43+INDEX(MO_FPB_ChangeInFPB,0,COLUMN())</f>
        <v>89484.565847999984</v>
      </c>
      <c r="BO43" s="978">
        <f>BN43</f>
        <v>89484.565847999984</v>
      </c>
      <c r="BP43" s="978">
        <f>BO43+INDEX(MO_FPB_ChangeInFPB,0,COLUMN())</f>
        <v>90710.708646999978</v>
      </c>
      <c r="BQ43" s="978">
        <f>BP43+INDEX(MO_FPB_ChangeInFPB,0,COLUMN())</f>
        <v>92165.992167999982</v>
      </c>
      <c r="BR43" s="978">
        <f>BQ43+INDEX(MO_FPB_ChangeInFPB,0,COLUMN())</f>
        <v>93650.620558999988</v>
      </c>
      <c r="BS43" s="100"/>
    </row>
    <row r="44" spans="1:71" s="224" customFormat="1" ht="15" hidden="1" outlineLevel="1">
      <c r="A44" s="370"/>
      <c r="B44" s="389"/>
      <c r="C44" s="971"/>
      <c r="D44" s="971"/>
      <c r="E44" s="971"/>
      <c r="F44" s="971"/>
      <c r="G44" s="971"/>
      <c r="H44" s="176"/>
      <c r="I44" s="176"/>
      <c r="J44" s="176"/>
      <c r="K44" s="176"/>
      <c r="L44" s="971"/>
      <c r="M44" s="176"/>
      <c r="N44" s="176"/>
      <c r="O44" s="176"/>
      <c r="P44" s="176"/>
      <c r="Q44" s="971"/>
      <c r="R44" s="176"/>
      <c r="S44" s="176"/>
      <c r="T44" s="176"/>
      <c r="U44" s="176"/>
      <c r="V44" s="971"/>
      <c r="W44" s="176"/>
      <c r="X44" s="176"/>
      <c r="Y44" s="176"/>
      <c r="Z44" s="176"/>
      <c r="AA44" s="971"/>
      <c r="AB44" s="176"/>
      <c r="AC44" s="176"/>
      <c r="AD44" s="176"/>
      <c r="AE44" s="176"/>
      <c r="AF44" s="971"/>
      <c r="AG44" s="176"/>
      <c r="AH44" s="176"/>
      <c r="AI44" s="176"/>
      <c r="AJ44" s="176"/>
      <c r="AK44" s="971"/>
      <c r="AL44" s="176"/>
      <c r="AM44" s="176"/>
      <c r="AN44" s="176"/>
      <c r="AO44" s="176"/>
      <c r="AP44" s="971"/>
      <c r="AQ44" s="176"/>
      <c r="AR44" s="176"/>
      <c r="AS44" s="176"/>
      <c r="AT44" s="176"/>
      <c r="AU44" s="971"/>
      <c r="AV44" s="176"/>
      <c r="AW44" s="176"/>
      <c r="AX44" s="176"/>
      <c r="AY44" s="176"/>
      <c r="AZ44" s="971"/>
      <c r="BA44" s="176"/>
      <c r="BB44" s="176"/>
      <c r="BC44" s="176"/>
      <c r="BD44" s="176"/>
      <c r="BE44" s="971"/>
      <c r="BF44" s="176"/>
      <c r="BG44" s="176"/>
      <c r="BH44" s="551"/>
      <c r="BI44" s="176"/>
      <c r="BJ44" s="971"/>
      <c r="BK44" s="176"/>
      <c r="BL44" s="176"/>
      <c r="BM44" s="176"/>
      <c r="BN44" s="176"/>
      <c r="BO44" s="971"/>
      <c r="BP44" s="971"/>
      <c r="BQ44" s="971"/>
      <c r="BR44" s="971"/>
      <c r="BS44" s="229"/>
    </row>
    <row r="45" spans="1:71" s="224" customFormat="1" ht="15" hidden="1" outlineLevel="1">
      <c r="A45" s="414" t="s">
        <v>390</v>
      </c>
      <c r="B45" s="389"/>
      <c r="C45" s="971"/>
      <c r="D45" s="970">
        <f>INDEX(MO_UI_PBCD,0,COLUMN())</f>
        <v>12106</v>
      </c>
      <c r="E45" s="970">
        <f t="shared" si="150" ref="E45:AQ45">INDEX(MO_UI_PBCD,0,COLUMN())</f>
        <v>13749</v>
      </c>
      <c r="F45" s="970">
        <f t="shared" si="150"/>
        <v>15330</v>
      </c>
      <c r="G45" s="970">
        <f t="shared" si="150"/>
        <v>13813</v>
      </c>
      <c r="H45" s="229">
        <f t="shared" si="150"/>
        <v>3220</v>
      </c>
      <c r="I45" s="229">
        <f t="shared" si="150"/>
        <v>3293</v>
      </c>
      <c r="J45" s="229">
        <f t="shared" si="150"/>
        <v>3355</v>
      </c>
      <c r="K45" s="229">
        <f t="shared" si="150"/>
        <v>3069</v>
      </c>
      <c r="L45" s="970">
        <f t="shared" si="150"/>
        <v>12937</v>
      </c>
      <c r="M45" s="229">
        <f t="shared" si="150"/>
        <v>2952</v>
      </c>
      <c r="N45" s="229">
        <f t="shared" si="150"/>
        <v>2937</v>
      </c>
      <c r="O45" s="229">
        <f t="shared" si="150"/>
        <v>2927</v>
      </c>
      <c r="P45" s="229">
        <f t="shared" si="150"/>
        <v>2930</v>
      </c>
      <c r="Q45" s="970">
        <f t="shared" si="150"/>
        <v>11746</v>
      </c>
      <c r="R45" s="229">
        <f t="shared" si="150"/>
        <v>3025</v>
      </c>
      <c r="S45" s="229">
        <f t="shared" si="150"/>
        <v>3254</v>
      </c>
      <c r="T45" s="229">
        <f t="shared" si="150"/>
        <v>3378</v>
      </c>
      <c r="U45" s="229">
        <f t="shared" si="150"/>
        <v>3262</v>
      </c>
      <c r="V45" s="970">
        <f t="shared" si="150"/>
        <v>12919</v>
      </c>
      <c r="W45" s="229">
        <f t="shared" si="150"/>
        <v>3052</v>
      </c>
      <c r="X45" s="229">
        <f t="shared" si="150"/>
        <v>3039</v>
      </c>
      <c r="Y45" s="229">
        <f t="shared" si="150"/>
        <v>3083</v>
      </c>
      <c r="Z45" s="229">
        <f t="shared" si="150"/>
        <v>3007</v>
      </c>
      <c r="AA45" s="970">
        <f t="shared" si="150"/>
        <v>12181</v>
      </c>
      <c r="AB45" s="229">
        <f t="shared" si="150"/>
        <v>3042</v>
      </c>
      <c r="AC45" s="229">
        <f t="shared" si="150"/>
        <v>3031</v>
      </c>
      <c r="AD45" s="229">
        <f t="shared" si="150"/>
        <v>3002</v>
      </c>
      <c r="AE45" s="229">
        <f t="shared" si="150"/>
        <v>2925</v>
      </c>
      <c r="AF45" s="970">
        <f t="shared" si="150"/>
        <v>12000</v>
      </c>
      <c r="AG45" s="229">
        <f t="shared" si="150"/>
        <v>2967</v>
      </c>
      <c r="AH45" s="229">
        <f t="shared" si="150"/>
        <v>2964</v>
      </c>
      <c r="AI45" s="229">
        <f t="shared" si="150"/>
        <v>3027</v>
      </c>
      <c r="AJ45" s="229">
        <f t="shared" si="150"/>
        <v>2984</v>
      </c>
      <c r="AK45" s="970">
        <f t="shared" si="150"/>
        <v>11942</v>
      </c>
      <c r="AL45" s="229">
        <f t="shared" si="150"/>
        <v>2939</v>
      </c>
      <c r="AM45" s="229">
        <f t="shared" si="150"/>
        <v>2897</v>
      </c>
      <c r="AN45" s="229">
        <f t="shared" si="150"/>
        <v>2985</v>
      </c>
      <c r="AO45" s="229">
        <f t="shared" si="150"/>
        <v>2975</v>
      </c>
      <c r="AP45" s="970">
        <f t="shared" si="150"/>
        <v>11796</v>
      </c>
      <c r="AQ45" s="229">
        <f t="shared" si="150"/>
        <v>2735</v>
      </c>
      <c r="AR45" s="229">
        <f t="shared" si="151" ref="AR45:AT45">INDEX(MO_UI_PBCD,0,COLUMN())</f>
        <v>2653</v>
      </c>
      <c r="AS45" s="229">
        <f t="shared" si="151"/>
        <v>2609</v>
      </c>
      <c r="AT45" s="229">
        <f t="shared" si="151"/>
        <v>2579</v>
      </c>
      <c r="AU45" s="970">
        <f t="shared" si="152" ref="AU45:BJ45">INDEX(MO_UI_PBCD,0,COLUMN())</f>
        <v>10576</v>
      </c>
      <c r="AV45" s="229">
        <f t="shared" si="152"/>
        <v>2483</v>
      </c>
      <c r="AW45" s="229">
        <f t="shared" si="152"/>
        <v>2274</v>
      </c>
      <c r="AX45" s="229">
        <f t="shared" si="152"/>
        <v>2076</v>
      </c>
      <c r="AY45" s="229">
        <f t="shared" si="152"/>
        <v>2054</v>
      </c>
      <c r="AZ45" s="970">
        <f t="shared" si="152"/>
        <v>8887</v>
      </c>
      <c r="BA45" s="229">
        <f t="shared" si="153" ref="BA45:BI45">INDEX(MO_UI_PBCD,0,COLUMN())</f>
        <v>2150</v>
      </c>
      <c r="BB45" s="229">
        <f t="shared" si="153"/>
        <v>2098</v>
      </c>
      <c r="BC45" s="229">
        <f t="shared" si="153"/>
        <v>1860</v>
      </c>
      <c r="BD45" s="229">
        <f t="shared" si="153"/>
        <v>2103</v>
      </c>
      <c r="BE45" s="970">
        <f t="shared" si="153"/>
        <v>8211</v>
      </c>
      <c r="BF45" s="229">
        <f>INDEX(MO_UI_PBCD,0,COLUMN())</f>
        <v>2010</v>
      </c>
      <c r="BG45" s="229">
        <f>INDEX(MO_UI_PBCD,0,COLUMN())</f>
        <v>1921</v>
      </c>
      <c r="BH45" s="738">
        <f>INDEX(MO_UI_PBCD,0,COLUMN())</f>
        <v>1595</v>
      </c>
      <c r="BI45" s="176">
        <f t="shared" si="153"/>
        <v>2568.4158025245902</v>
      </c>
      <c r="BJ45" s="971">
        <f t="shared" si="152"/>
        <v>8094.4158025245906</v>
      </c>
      <c r="BK45" s="176">
        <f t="shared" si="154" ref="BK45:BR45">INDEX(MO_UI_PBCD,0,COLUMN())</f>
        <v>1904.8592033917807</v>
      </c>
      <c r="BL45" s="176">
        <f t="shared" si="154"/>
        <v>1898.4245127945205</v>
      </c>
      <c r="BM45" s="176">
        <f t="shared" si="154"/>
        <v>2054.1403132164387</v>
      </c>
      <c r="BN45" s="176">
        <f t="shared" si="154"/>
        <v>2338.7563160345208</v>
      </c>
      <c r="BO45" s="971">
        <f t="shared" si="154"/>
        <v>8196.1803454372603</v>
      </c>
      <c r="BP45" s="971">
        <f t="shared" si="154"/>
        <v>8255.6744001764382</v>
      </c>
      <c r="BQ45" s="971">
        <f t="shared" si="154"/>
        <v>8539.3435700255559</v>
      </c>
      <c r="BR45" s="971">
        <f t="shared" si="154"/>
        <v>8623.6883373756573</v>
      </c>
      <c r="BS45" s="229"/>
    </row>
    <row r="46" spans="1:71" s="224" customFormat="1" ht="15" hidden="1" outlineLevel="1">
      <c r="A46" s="413" t="s">
        <v>391</v>
      </c>
      <c r="B46" s="486"/>
      <c r="C46" s="973"/>
      <c r="D46" s="972">
        <f>D45-D47</f>
        <v>-1105</v>
      </c>
      <c r="E46" s="972">
        <f>E45-E47</f>
        <v>1612</v>
      </c>
      <c r="F46" s="972">
        <f>F45-F47</f>
        <v>12203</v>
      </c>
      <c r="G46" s="972">
        <f>G45-G47</f>
        <v>22131</v>
      </c>
      <c r="H46" s="310">
        <f t="shared" si="155" ref="H46:AW46">H45-H47</f>
        <v>-268</v>
      </c>
      <c r="I46" s="310">
        <f t="shared" si="155"/>
        <v>759</v>
      </c>
      <c r="J46" s="310">
        <f t="shared" si="155"/>
        <v>8579</v>
      </c>
      <c r="K46" s="310">
        <f t="shared" si="155"/>
        <v>9336</v>
      </c>
      <c r="L46" s="972">
        <f>L45-L47</f>
        <v>18406</v>
      </c>
      <c r="M46" s="310">
        <f t="shared" si="155"/>
        <v>1321</v>
      </c>
      <c r="N46" s="310">
        <f t="shared" si="155"/>
        <v>3920</v>
      </c>
      <c r="O46" s="310">
        <f t="shared" si="155"/>
        <v>323</v>
      </c>
      <c r="P46" s="310">
        <f t="shared" si="155"/>
        <v>2484</v>
      </c>
      <c r="Q46" s="972">
        <f>Q45-Q47</f>
        <v>8048</v>
      </c>
      <c r="R46" s="310">
        <f t="shared" si="155"/>
        <v>-3472</v>
      </c>
      <c r="S46" s="310">
        <f t="shared" si="155"/>
        <v>-5684</v>
      </c>
      <c r="T46" s="310">
        <f t="shared" si="155"/>
        <v>888</v>
      </c>
      <c r="U46" s="310">
        <f t="shared" si="155"/>
        <v>15092</v>
      </c>
      <c r="V46" s="972">
        <f>V45-V47</f>
        <v>6824</v>
      </c>
      <c r="W46" s="310">
        <f t="shared" si="155"/>
        <v>-846</v>
      </c>
      <c r="X46" s="310">
        <f t="shared" si="155"/>
        <v>2205</v>
      </c>
      <c r="Y46" s="310">
        <f t="shared" si="155"/>
        <v>2828</v>
      </c>
      <c r="Z46" s="310">
        <f t="shared" si="155"/>
        <v>2573</v>
      </c>
      <c r="AA46" s="972">
        <f>AA45-AA47</f>
        <v>6760</v>
      </c>
      <c r="AB46" s="310">
        <f t="shared" si="155"/>
        <v>-3210</v>
      </c>
      <c r="AC46" s="310">
        <f t="shared" si="155"/>
        <v>6120</v>
      </c>
      <c r="AD46" s="310">
        <f t="shared" si="155"/>
        <v>4728</v>
      </c>
      <c r="AE46" s="310">
        <f t="shared" si="155"/>
        <v>321</v>
      </c>
      <c r="AF46" s="972">
        <f t="shared" si="155"/>
        <v>7959</v>
      </c>
      <c r="AG46" s="310">
        <f t="shared" si="155"/>
        <v>2475</v>
      </c>
      <c r="AH46" s="310">
        <f t="shared" si="155"/>
        <v>-345</v>
      </c>
      <c r="AI46" s="310">
        <f t="shared" si="155"/>
        <v>2486</v>
      </c>
      <c r="AJ46" s="310">
        <f t="shared" si="155"/>
        <v>3960</v>
      </c>
      <c r="AK46" s="972">
        <f t="shared" si="155"/>
        <v>8576</v>
      </c>
      <c r="AL46" s="310">
        <f t="shared" si="155"/>
        <v>1941</v>
      </c>
      <c r="AM46" s="310">
        <f t="shared" si="155"/>
        <v>1346</v>
      </c>
      <c r="AN46" s="310">
        <f t="shared" si="155"/>
        <v>501</v>
      </c>
      <c r="AO46" s="310">
        <f t="shared" si="155"/>
        <v>171</v>
      </c>
      <c r="AP46" s="972">
        <f t="shared" si="155"/>
        <v>3959</v>
      </c>
      <c r="AQ46" s="310">
        <f t="shared" si="155"/>
        <v>9221</v>
      </c>
      <c r="AR46" s="310">
        <f t="shared" si="155"/>
        <v>2272</v>
      </c>
      <c r="AS46" s="310">
        <f t="shared" si="155"/>
        <v>3452</v>
      </c>
      <c r="AT46" s="310">
        <f t="shared" si="155"/>
        <v>4950</v>
      </c>
      <c r="AU46" s="972">
        <f t="shared" si="155"/>
        <v>19895</v>
      </c>
      <c r="AV46" s="310">
        <f t="shared" si="155"/>
        <v>7912</v>
      </c>
      <c r="AW46" s="310">
        <f t="shared" si="155"/>
        <v>11299</v>
      </c>
      <c r="AX46" s="310">
        <f t="shared" si="156" ref="AX46:BC46">AX45-AX47</f>
        <v>6154</v>
      </c>
      <c r="AY46" s="310">
        <f t="shared" si="156"/>
        <v>-4664</v>
      </c>
      <c r="AZ46" s="972">
        <f t="shared" si="156"/>
        <v>20701</v>
      </c>
      <c r="BA46" s="310">
        <f t="shared" si="156"/>
        <v>-4525</v>
      </c>
      <c r="BB46" s="310">
        <f t="shared" si="156"/>
        <v>8224</v>
      </c>
      <c r="BC46" s="310">
        <f t="shared" si="156"/>
        <v>9639</v>
      </c>
      <c r="BD46" s="310">
        <f>BD45-BD47</f>
        <v>-3468</v>
      </c>
      <c r="BE46" s="972">
        <f>BE45-BE47</f>
        <v>9870</v>
      </c>
      <c r="BF46" s="310">
        <f>BF45-BF47</f>
        <v>8245</v>
      </c>
      <c r="BG46" s="310">
        <f>BG45-BG47</f>
        <v>9932</v>
      </c>
      <c r="BH46" s="739">
        <f>BH45-BH47</f>
        <v>-8606</v>
      </c>
      <c r="BI46" s="177">
        <f>INDEX(MO_UI_Premiums,0,COLUMN())*INDEX(MO_FPB_PBPayoutRatio,0,COLUMN())</f>
        <v>1858.56</v>
      </c>
      <c r="BJ46" s="973">
        <f>SUM(BF46,BG46,BH46,BI46)</f>
        <v>11429.56</v>
      </c>
      <c r="BK46" s="177">
        <f>INDEX(MO_UI_Premiums,0,COLUMN())*INDEX(MO_FPB_PBPayoutRatio,0,COLUMN())</f>
        <v>1628.7874999999999</v>
      </c>
      <c r="BL46" s="177">
        <f>INDEX(MO_UI_Premiums,0,COLUMN())*INDEX(MO_FPB_PBPayoutRatio,0,COLUMN())</f>
        <v>1622.2125000000001</v>
      </c>
      <c r="BM46" s="177">
        <f>INDEX(MO_UI_Premiums,0,COLUMN())*INDEX(MO_FPB_PBPayoutRatio,0,COLUMN())</f>
        <v>1740.8224999999998</v>
      </c>
      <c r="BN46" s="177">
        <f>INDEX(MO_UI_Premiums,0,COLUMN())*INDEX(MO_FPB_PBPayoutRatio,0,COLUMN())</f>
        <v>1983.6478000000002</v>
      </c>
      <c r="BO46" s="973">
        <f>SUM(BK46,BL46,BM46,BN46)</f>
        <v>6975.4703000000009</v>
      </c>
      <c r="BP46" s="973">
        <f>INDEX(MO_UI_Premiums,0,COLUMN())*INDEX(MO_FPB_PBPayoutRatio,0,COLUMN())</f>
        <v>7029.5316014999999</v>
      </c>
      <c r="BQ46" s="973">
        <f>INDEX(MO_UI_Premiums,0,COLUMN())*INDEX(MO_FPB_PBPayoutRatio,0,COLUMN())</f>
        <v>7084.0600490074994</v>
      </c>
      <c r="BR46" s="973">
        <f>INDEX(MO_UI_Premiums,0,COLUMN())*INDEX(MO_FPB_PBPayoutRatio,0,COLUMN())</f>
        <v>7139.0599466475369</v>
      </c>
      <c r="BS46" s="229"/>
    </row>
    <row r="47" spans="1:71" s="44" customFormat="1" ht="15" hidden="1" outlineLevel="1">
      <c r="A47" s="373" t="s">
        <v>392</v>
      </c>
      <c r="B47" s="397"/>
      <c r="C47" s="978"/>
      <c r="D47" s="977">
        <f t="shared" si="157" ref="D47:K47">D43-C43</f>
        <v>13211</v>
      </c>
      <c r="E47" s="977">
        <f t="shared" si="157"/>
        <v>12137</v>
      </c>
      <c r="F47" s="977">
        <f t="shared" si="157"/>
        <v>3127</v>
      </c>
      <c r="G47" s="977">
        <f t="shared" si="157"/>
        <v>-8318</v>
      </c>
      <c r="H47" s="100">
        <f t="shared" si="157"/>
        <v>3488</v>
      </c>
      <c r="I47" s="100">
        <f t="shared" si="157"/>
        <v>2534</v>
      </c>
      <c r="J47" s="100">
        <f t="shared" si="157"/>
        <v>-5224</v>
      </c>
      <c r="K47" s="100">
        <f t="shared" si="157"/>
        <v>-6267</v>
      </c>
      <c r="L47" s="977">
        <f>L43-G43</f>
        <v>-5469</v>
      </c>
      <c r="M47" s="100">
        <f>M43-L43</f>
        <v>1631</v>
      </c>
      <c r="N47" s="100">
        <f>N43-M43</f>
        <v>-983</v>
      </c>
      <c r="O47" s="100">
        <f>O43-N43</f>
        <v>2604</v>
      </c>
      <c r="P47" s="100">
        <f>P43-O43</f>
        <v>446</v>
      </c>
      <c r="Q47" s="977">
        <f>Q43-L43</f>
        <v>3698</v>
      </c>
      <c r="R47" s="100">
        <f>R43-Q43</f>
        <v>6497</v>
      </c>
      <c r="S47" s="100">
        <f>S43-R43</f>
        <v>8938</v>
      </c>
      <c r="T47" s="100">
        <f>T43-S43</f>
        <v>2490</v>
      </c>
      <c r="U47" s="100">
        <f>U43-T43</f>
        <v>-11830</v>
      </c>
      <c r="V47" s="977">
        <f>V43-Q43</f>
        <v>6095</v>
      </c>
      <c r="W47" s="100">
        <f>W43-V43</f>
        <v>3898</v>
      </c>
      <c r="X47" s="100">
        <f>X43-W43</f>
        <v>834</v>
      </c>
      <c r="Y47" s="100">
        <f>Y43-X43</f>
        <v>255</v>
      </c>
      <c r="Z47" s="100">
        <f>Z43-Y43</f>
        <v>434</v>
      </c>
      <c r="AA47" s="977">
        <f>AA43-V43</f>
        <v>5421</v>
      </c>
      <c r="AB47" s="100">
        <f>AB43-AA43</f>
        <v>6252</v>
      </c>
      <c r="AC47" s="100">
        <f>AC43-AB43</f>
        <v>-3089</v>
      </c>
      <c r="AD47" s="100">
        <f>AD43-AC43</f>
        <v>-1726</v>
      </c>
      <c r="AE47" s="100">
        <f>AE43-AD43</f>
        <v>2604</v>
      </c>
      <c r="AF47" s="977">
        <f>AF43-AA43</f>
        <v>4041</v>
      </c>
      <c r="AG47" s="100">
        <f>AG43-AF43</f>
        <v>492</v>
      </c>
      <c r="AH47" s="100">
        <f>AH43-AG43</f>
        <v>3309</v>
      </c>
      <c r="AI47" s="100">
        <f>AI43-AH43</f>
        <v>541</v>
      </c>
      <c r="AJ47" s="100">
        <f>AJ43-AI43</f>
        <v>-976</v>
      </c>
      <c r="AK47" s="977">
        <f>AK43-AF43</f>
        <v>3366</v>
      </c>
      <c r="AL47" s="100">
        <f>AL43-AK43</f>
        <v>998</v>
      </c>
      <c r="AM47" s="100">
        <f>AM43-AL43</f>
        <v>1551</v>
      </c>
      <c r="AN47" s="100">
        <f>AN43-AM43</f>
        <v>2484</v>
      </c>
      <c r="AO47" s="100">
        <f>AO43-AN43</f>
        <v>2804</v>
      </c>
      <c r="AP47" s="977">
        <f>AP43-AK43</f>
        <v>7837</v>
      </c>
      <c r="AQ47" s="100">
        <f>AQ43-AP43</f>
        <v>-6486</v>
      </c>
      <c r="AR47" s="100">
        <f>AR43-AQ43</f>
        <v>381</v>
      </c>
      <c r="AS47" s="100">
        <f>AS43-AR43</f>
        <v>-843</v>
      </c>
      <c r="AT47" s="100">
        <f>AT43-AS43</f>
        <v>-2371</v>
      </c>
      <c r="AU47" s="977">
        <f>AU43-AP43</f>
        <v>-9319</v>
      </c>
      <c r="AV47" s="100">
        <f>AV43-AU43</f>
        <v>-5429</v>
      </c>
      <c r="AW47" s="100">
        <f>AW43-AV43</f>
        <v>-9025</v>
      </c>
      <c r="AX47" s="100">
        <f>AX43-AW43</f>
        <v>-4078</v>
      </c>
      <c r="AY47" s="100">
        <f>AY43-AX43</f>
        <v>6718</v>
      </c>
      <c r="AZ47" s="977">
        <f>AZ43-AU43</f>
        <v>-11814</v>
      </c>
      <c r="BA47" s="100">
        <f>BA43-AZ43</f>
        <v>6675</v>
      </c>
      <c r="BB47" s="100">
        <f>BB43-BA43</f>
        <v>-6126</v>
      </c>
      <c r="BC47" s="100">
        <f>BC43-BB43</f>
        <v>-7779</v>
      </c>
      <c r="BD47" s="100">
        <f>BD43-BC43</f>
        <v>5571</v>
      </c>
      <c r="BE47" s="977">
        <f>BE43-AZ43</f>
        <v>-1659</v>
      </c>
      <c r="BF47" s="100">
        <f>BF43-BE43</f>
        <v>-6235</v>
      </c>
      <c r="BG47" s="100">
        <f>BG43-BF43</f>
        <v>-8011</v>
      </c>
      <c r="BH47" s="741">
        <f>BH43-BG43</f>
        <v>10201</v>
      </c>
      <c r="BI47" s="185">
        <f>ROUND(INDEX(MO_FPB_PBIncurred,0,COLUMN())-INDEX(MO_FPB_PBPaid,0,COLUMN()),6)</f>
        <v>709.85580300000004</v>
      </c>
      <c r="BJ47" s="978">
        <f>BJ43-BE43</f>
        <v>-3335.1441970000014</v>
      </c>
      <c r="BK47" s="185">
        <f>ROUND(INDEX(MO_FPB_PBIncurred,0,COLUMN())-INDEX(MO_FPB_PBPaid,0,COLUMN()),6)</f>
        <v>276.07170300000001</v>
      </c>
      <c r="BL47" s="185">
        <f>ROUND(INDEX(MO_FPB_PBIncurred,0,COLUMN())-INDEX(MO_FPB_PBPaid,0,COLUMN()),6)</f>
        <v>276.21201300000001</v>
      </c>
      <c r="BM47" s="185">
        <f>ROUND(INDEX(MO_FPB_PBIncurred,0,COLUMN())-INDEX(MO_FPB_PBPaid,0,COLUMN()),6)</f>
        <v>313.317813</v>
      </c>
      <c r="BN47" s="185">
        <f>ROUND(INDEX(MO_FPB_PBIncurred,0,COLUMN())-INDEX(MO_FPB_PBPaid,0,COLUMN()),6)</f>
        <v>355.10851600000001</v>
      </c>
      <c r="BO47" s="978">
        <f>BO43-BJ43</f>
        <v>1220.7100449999853</v>
      </c>
      <c r="BP47" s="978">
        <f>ROUND(INDEX(MO_FPB_PBIncurred,0,COLUMN())-INDEX(MO_FPB_PBPaid,0,COLUMN()),6)</f>
        <v>1226.142799</v>
      </c>
      <c r="BQ47" s="978">
        <f>ROUND(INDEX(MO_FPB_PBIncurred,0,COLUMN())-INDEX(MO_FPB_PBPaid,0,COLUMN()),6)</f>
        <v>1455.2835210000001</v>
      </c>
      <c r="BR47" s="978">
        <f>ROUND(INDEX(MO_FPB_PBIncurred,0,COLUMN())-INDEX(MO_FPB_PBPaid,0,COLUMN()),6)</f>
        <v>1484.628391</v>
      </c>
      <c r="BS47" s="100"/>
    </row>
    <row r="48" spans="1:71" s="224" customFormat="1" ht="15" hidden="1" outlineLevel="1">
      <c r="A48" s="488"/>
      <c r="B48" s="389"/>
      <c r="C48" s="971"/>
      <c r="D48" s="971"/>
      <c r="E48" s="971"/>
      <c r="F48" s="971"/>
      <c r="G48" s="971"/>
      <c r="H48" s="176"/>
      <c r="I48" s="176"/>
      <c r="J48" s="176"/>
      <c r="K48" s="176"/>
      <c r="L48" s="971"/>
      <c r="M48" s="176"/>
      <c r="N48" s="176"/>
      <c r="O48" s="176"/>
      <c r="P48" s="176"/>
      <c r="Q48" s="971"/>
      <c r="R48" s="176"/>
      <c r="S48" s="176"/>
      <c r="T48" s="176"/>
      <c r="U48" s="176"/>
      <c r="V48" s="971"/>
      <c r="W48" s="176"/>
      <c r="X48" s="176"/>
      <c r="Y48" s="176"/>
      <c r="Z48" s="176"/>
      <c r="AA48" s="971"/>
      <c r="AB48" s="176"/>
      <c r="AC48" s="176"/>
      <c r="AD48" s="176"/>
      <c r="AE48" s="176"/>
      <c r="AF48" s="971"/>
      <c r="AG48" s="176"/>
      <c r="AH48" s="176"/>
      <c r="AI48" s="176"/>
      <c r="AJ48" s="176"/>
      <c r="AK48" s="971"/>
      <c r="AL48" s="176"/>
      <c r="AM48" s="176"/>
      <c r="AN48" s="176"/>
      <c r="AO48" s="176"/>
      <c r="AP48" s="971"/>
      <c r="AQ48" s="176"/>
      <c r="AR48" s="176"/>
      <c r="AS48" s="176"/>
      <c r="AT48" s="176"/>
      <c r="AU48" s="971"/>
      <c r="AV48" s="176"/>
      <c r="AW48" s="176"/>
      <c r="AX48" s="176"/>
      <c r="AY48" s="176"/>
      <c r="AZ48" s="971"/>
      <c r="BA48" s="176"/>
      <c r="BB48" s="176"/>
      <c r="BC48" s="176"/>
      <c r="BD48" s="176"/>
      <c r="BE48" s="971"/>
      <c r="BF48" s="176"/>
      <c r="BG48" s="176"/>
      <c r="BH48" s="551"/>
      <c r="BI48" s="176"/>
      <c r="BJ48" s="971"/>
      <c r="BK48" s="176"/>
      <c r="BL48" s="176"/>
      <c r="BM48" s="176"/>
      <c r="BN48" s="176"/>
      <c r="BO48" s="971"/>
      <c r="BP48" s="971"/>
      <c r="BQ48" s="971"/>
      <c r="BR48" s="971"/>
      <c r="BS48" s="229"/>
    </row>
    <row r="49" spans="1:71" s="46" customFormat="1" ht="15" hidden="1" outlineLevel="1">
      <c r="A49" s="411" t="s">
        <v>393</v>
      </c>
      <c r="B49" s="396"/>
      <c r="C49" s="979"/>
      <c r="D49" s="980">
        <f>D46/D18</f>
        <v>-0.061140928456814035</v>
      </c>
      <c r="E49" s="980">
        <f>E46/E18</f>
        <v>0.079167075925744027</v>
      </c>
      <c r="F49" s="980">
        <f>F46/F18</f>
        <v>0.55097525735958097</v>
      </c>
      <c r="G49" s="980">
        <f t="shared" si="158" ref="G49:AM49">G46/G18</f>
        <v>1.0991308666501118</v>
      </c>
      <c r="H49" s="93">
        <f t="shared" si="158"/>
        <v>-0.055212196126905644</v>
      </c>
      <c r="I49" s="93">
        <f t="shared" si="158"/>
        <v>0.15527823240589197</v>
      </c>
      <c r="J49" s="93">
        <f t="shared" si="158"/>
        <v>1.7721545135302623</v>
      </c>
      <c r="K49" s="93">
        <f t="shared" si="158"/>
        <v>2.0797505012252171</v>
      </c>
      <c r="L49" s="980">
        <f t="shared" si="158"/>
        <v>0.96507969798657722</v>
      </c>
      <c r="M49" s="93">
        <f t="shared" si="158"/>
        <v>0.29805956678700363</v>
      </c>
      <c r="N49" s="93">
        <f t="shared" si="158"/>
        <v>0.8982584784601283</v>
      </c>
      <c r="O49" s="93">
        <f t="shared" si="158"/>
        <v>0.073744292237442916</v>
      </c>
      <c r="P49" s="93">
        <f t="shared" si="158"/>
        <v>0.56531634046426948</v>
      </c>
      <c r="Q49" s="980">
        <f t="shared" si="158"/>
        <v>0.45805350028457598</v>
      </c>
      <c r="R49" s="93">
        <f t="shared" si="158"/>
        <v>-0.7544545849630595</v>
      </c>
      <c r="S49" s="93">
        <f t="shared" si="158"/>
        <v>-1.1785195936139332</v>
      </c>
      <c r="T49" s="93">
        <f t="shared" si="158"/>
        <v>0.17682198327359619</v>
      </c>
      <c r="U49" s="93">
        <f t="shared" si="158"/>
        <v>3.1586437840100459</v>
      </c>
      <c r="V49" s="980">
        <f t="shared" si="158"/>
        <v>0.35495448634590376</v>
      </c>
      <c r="W49" s="93">
        <f t="shared" si="158"/>
        <v>-0.18240620957309184</v>
      </c>
      <c r="X49" s="93">
        <f t="shared" si="158"/>
        <v>0.47266881028938906</v>
      </c>
      <c r="Y49" s="93">
        <f t="shared" si="158"/>
        <v>0.60843373493975905</v>
      </c>
      <c r="Z49" s="93">
        <f t="shared" si="158"/>
        <v>0.56179039301310041</v>
      </c>
      <c r="AA49" s="980">
        <f t="shared" si="158"/>
        <v>0.36479412875721762</v>
      </c>
      <c r="AB49" s="93">
        <f t="shared" si="158"/>
        <v>-0.67650158061116961</v>
      </c>
      <c r="AC49" s="93">
        <f t="shared" si="158"/>
        <v>1.3004674883127922</v>
      </c>
      <c r="AD49" s="93">
        <f t="shared" si="158"/>
        <v>1.0198446937014667</v>
      </c>
      <c r="AE49" s="93">
        <f t="shared" si="158"/>
        <v>0.069934640522875818</v>
      </c>
      <c r="AF49" s="980">
        <f t="shared" si="158"/>
        <v>0.42613910156877444</v>
      </c>
      <c r="AG49" s="93">
        <f t="shared" si="158"/>
        <v>0.52760605414623751</v>
      </c>
      <c r="AH49" s="93">
        <f t="shared" si="158"/>
        <v>-0.07370220038453322</v>
      </c>
      <c r="AI49" s="93">
        <f t="shared" si="158"/>
        <v>0.52491554054054057</v>
      </c>
      <c r="AJ49" s="93">
        <f t="shared" si="158"/>
        <v>0.8476027397260274</v>
      </c>
      <c r="AK49" s="980">
        <f t="shared" si="158"/>
        <v>0.45665601703940362</v>
      </c>
      <c r="AL49" s="93">
        <f t="shared" si="158"/>
        <v>0.41465498825037383</v>
      </c>
      <c r="AM49" s="93">
        <f t="shared" si="158"/>
        <v>0.28859348198970841</v>
      </c>
      <c r="AN49" s="93">
        <f t="shared" si="159" ref="AN49:AQ49">AN46/AN18</f>
        <v>0.10837118754055808</v>
      </c>
      <c r="AO49" s="93">
        <f t="shared" si="159"/>
        <v>0.036742587021916628</v>
      </c>
      <c r="AP49" s="980">
        <f t="shared" si="159"/>
        <v>0.21259800236279669</v>
      </c>
      <c r="AQ49" s="93">
        <f t="shared" si="159"/>
        <v>2.0076202917483128</v>
      </c>
      <c r="AR49" s="93">
        <f t="shared" si="160" ref="AR49:AW49">AR46/AR18</f>
        <v>0.51159648727764018</v>
      </c>
      <c r="AS49" s="93">
        <f t="shared" si="160"/>
        <v>0.78956999085086921</v>
      </c>
      <c r="AT49" s="93">
        <f t="shared" si="160"/>
        <v>1.1671775524640415</v>
      </c>
      <c r="AU49" s="980">
        <f t="shared" si="160"/>
        <v>1.1273870912903043</v>
      </c>
      <c r="AV49" s="93">
        <f t="shared" si="160"/>
        <v>1.9396911007599902</v>
      </c>
      <c r="AW49" s="93">
        <f t="shared" si="160"/>
        <v>3.0018597236981934</v>
      </c>
      <c r="AX49" s="93">
        <f t="shared" si="161" ref="AX49:BC49">AX46/AX18</f>
        <v>1.7408769448373409</v>
      </c>
      <c r="AY49" s="93">
        <f t="shared" si="161"/>
        <v>-1.3238717002554641</v>
      </c>
      <c r="AZ49" s="980">
        <f t="shared" si="161"/>
        <v>1.389235621770351</v>
      </c>
      <c r="BA49" s="93">
        <f t="shared" si="161"/>
        <v>-1.2269522776572668</v>
      </c>
      <c r="BB49" s="93">
        <f t="shared" si="161"/>
        <v>2.3017072488105232</v>
      </c>
      <c r="BC49" s="93">
        <f t="shared" si="161"/>
        <v>2.7730149597238203</v>
      </c>
      <c r="BD49" s="93">
        <f>BD46/BD18</f>
        <v>-1.0242173656231541</v>
      </c>
      <c r="BE49" s="980">
        <f>BE46/BE18</f>
        <v>0.69886001557742694</v>
      </c>
      <c r="BF49" s="93">
        <f>BF46/BF18</f>
        <v>2.3857060185185186</v>
      </c>
      <c r="BG49" s="93">
        <f>BG46/BG18</f>
        <v>2.9870676691729323</v>
      </c>
      <c r="BH49" s="742">
        <f>BH46/BH18</f>
        <v>-2.5859375</v>
      </c>
      <c r="BI49" s="882">
        <v>0.50</v>
      </c>
      <c r="BJ49" s="979">
        <f>BJ46/BJ18</f>
        <v>0.82666431363245796</v>
      </c>
      <c r="BK49" s="882">
        <v>0.50</v>
      </c>
      <c r="BL49" s="882">
        <v>0.50</v>
      </c>
      <c r="BM49" s="882">
        <v>0.50</v>
      </c>
      <c r="BN49" s="882">
        <v>0.50</v>
      </c>
      <c r="BO49" s="979">
        <f>BO46/BO18</f>
        <v>0.50000000000000011</v>
      </c>
      <c r="BP49" s="981">
        <v>0.50</v>
      </c>
      <c r="BQ49" s="981">
        <v>0.50</v>
      </c>
      <c r="BR49" s="981">
        <v>0.50</v>
      </c>
      <c r="BS49" s="93"/>
    </row>
    <row r="50" spans="1:71" s="224" customFormat="1" ht="15" collapsed="1">
      <c r="A50" s="392"/>
      <c r="B50" s="389"/>
      <c r="C50" s="971"/>
      <c r="D50" s="971"/>
      <c r="E50" s="971"/>
      <c r="F50" s="971"/>
      <c r="G50" s="971"/>
      <c r="H50" s="176"/>
      <c r="I50" s="176"/>
      <c r="J50" s="176"/>
      <c r="K50" s="176"/>
      <c r="L50" s="971"/>
      <c r="M50" s="176"/>
      <c r="N50" s="176"/>
      <c r="O50" s="176"/>
      <c r="P50" s="176"/>
      <c r="Q50" s="971"/>
      <c r="R50" s="176"/>
      <c r="S50" s="176"/>
      <c r="T50" s="176"/>
      <c r="U50" s="176"/>
      <c r="V50" s="971"/>
      <c r="W50" s="176"/>
      <c r="X50" s="176"/>
      <c r="Y50" s="176"/>
      <c r="Z50" s="176"/>
      <c r="AA50" s="971"/>
      <c r="AB50" s="176"/>
      <c r="AC50" s="176"/>
      <c r="AD50" s="176"/>
      <c r="AE50" s="176"/>
      <c r="AF50" s="971"/>
      <c r="AG50" s="176"/>
      <c r="AH50" s="176"/>
      <c r="AI50" s="176"/>
      <c r="AJ50" s="176"/>
      <c r="AK50" s="971"/>
      <c r="AL50" s="176"/>
      <c r="AM50" s="176"/>
      <c r="AN50" s="176"/>
      <c r="AO50" s="176"/>
      <c r="AP50" s="971"/>
      <c r="AQ50" s="176"/>
      <c r="AR50" s="176"/>
      <c r="AS50" s="176"/>
      <c r="AT50" s="176"/>
      <c r="AU50" s="971"/>
      <c r="AV50" s="176"/>
      <c r="AW50" s="176"/>
      <c r="AX50" s="176"/>
      <c r="AY50" s="176"/>
      <c r="AZ50" s="971"/>
      <c r="BA50" s="176"/>
      <c r="BB50" s="176"/>
      <c r="BC50" s="176"/>
      <c r="BD50" s="176"/>
      <c r="BE50" s="971"/>
      <c r="BF50" s="176"/>
      <c r="BG50" s="176"/>
      <c r="BH50" s="551"/>
      <c r="BI50" s="176"/>
      <c r="BJ50" s="971"/>
      <c r="BK50" s="176"/>
      <c r="BL50" s="176"/>
      <c r="BM50" s="176"/>
      <c r="BN50" s="176"/>
      <c r="BO50" s="971"/>
      <c r="BP50" s="971"/>
      <c r="BQ50" s="971"/>
      <c r="BR50" s="971"/>
      <c r="BS50" s="229"/>
    </row>
    <row r="51" spans="1:71" s="625" customFormat="1" ht="15">
      <c r="A51" s="813" t="s">
        <v>326</v>
      </c>
      <c r="B51" s="813"/>
      <c r="C51" s="828"/>
      <c r="D51" s="828"/>
      <c r="E51" s="828"/>
      <c r="F51" s="828"/>
      <c r="G51" s="828"/>
      <c r="H51" s="828"/>
      <c r="I51" s="828"/>
      <c r="J51" s="828"/>
      <c r="K51" s="828"/>
      <c r="L51" s="828"/>
      <c r="M51" s="828"/>
      <c r="N51" s="828"/>
      <c r="O51" s="828"/>
      <c r="P51" s="828"/>
      <c r="Q51" s="828"/>
      <c r="R51" s="828"/>
      <c r="S51" s="828"/>
      <c r="T51" s="828"/>
      <c r="U51" s="828"/>
      <c r="V51" s="828"/>
      <c r="W51" s="828"/>
      <c r="X51" s="828"/>
      <c r="Y51" s="828"/>
      <c r="Z51" s="828"/>
      <c r="AA51" s="828"/>
      <c r="AB51" s="828"/>
      <c r="AC51" s="828"/>
      <c r="AD51" s="828"/>
      <c r="AE51" s="828"/>
      <c r="AF51" s="828"/>
      <c r="AG51" s="828"/>
      <c r="AH51" s="828"/>
      <c r="AI51" s="828"/>
      <c r="AJ51" s="828"/>
      <c r="AK51" s="828"/>
      <c r="AL51" s="828"/>
      <c r="AM51" s="828"/>
      <c r="AN51" s="828"/>
      <c r="AO51" s="828"/>
      <c r="AP51" s="828"/>
      <c r="AQ51" s="828"/>
      <c r="AR51" s="828"/>
      <c r="AS51" s="828"/>
      <c r="AT51" s="828"/>
      <c r="AU51" s="828"/>
      <c r="AV51" s="828"/>
      <c r="AW51" s="828"/>
      <c r="AX51" s="828"/>
      <c r="AY51" s="828"/>
      <c r="AZ51" s="828"/>
      <c r="BA51" s="828"/>
      <c r="BB51" s="828"/>
      <c r="BC51" s="828"/>
      <c r="BD51" s="828"/>
      <c r="BE51" s="828"/>
      <c r="BF51" s="828"/>
      <c r="BG51" s="828"/>
      <c r="BH51" s="829"/>
      <c r="BI51" s="830"/>
      <c r="BJ51" s="830"/>
      <c r="BK51" s="830"/>
      <c r="BL51" s="830"/>
      <c r="BM51" s="830"/>
      <c r="BN51" s="830"/>
      <c r="BO51" s="830"/>
      <c r="BP51" s="828"/>
      <c r="BQ51" s="828"/>
      <c r="BR51" s="830"/>
      <c r="BS51" s="373"/>
    </row>
    <row r="52" spans="1:71" s="44" customFormat="1" ht="15" hidden="1" outlineLevel="1">
      <c r="A52" s="373" t="s">
        <v>327</v>
      </c>
      <c r="B52" s="397"/>
      <c r="C52" s="977">
        <f>C427</f>
        <v>8533</v>
      </c>
      <c r="D52" s="977">
        <f t="shared" si="162" ref="D52:AM52">D427</f>
        <v>9734</v>
      </c>
      <c r="E52" s="977">
        <f t="shared" si="162"/>
        <v>9789</v>
      </c>
      <c r="F52" s="977">
        <f t="shared" si="162"/>
        <v>9658</v>
      </c>
      <c r="G52" s="977">
        <f t="shared" si="162"/>
        <v>8798</v>
      </c>
      <c r="H52" s="100">
        <f t="shared" si="162"/>
        <v>8965</v>
      </c>
      <c r="I52" s="100">
        <f t="shared" si="162"/>
        <v>9117</v>
      </c>
      <c r="J52" s="100">
        <f t="shared" si="162"/>
        <v>8713</v>
      </c>
      <c r="K52" s="100">
        <f t="shared" si="162"/>
        <v>8273</v>
      </c>
      <c r="L52" s="977">
        <f t="shared" si="162"/>
        <v>8273</v>
      </c>
      <c r="M52" s="100">
        <f t="shared" si="162"/>
        <v>8319</v>
      </c>
      <c r="N52" s="100">
        <f t="shared" si="162"/>
        <v>8278</v>
      </c>
      <c r="O52" s="100">
        <f t="shared" si="162"/>
        <v>8451</v>
      </c>
      <c r="P52" s="100">
        <f t="shared" si="162"/>
        <v>8511</v>
      </c>
      <c r="Q52" s="977">
        <f t="shared" si="162"/>
        <v>8511</v>
      </c>
      <c r="R52" s="100">
        <f t="shared" si="162"/>
        <v>8929</v>
      </c>
      <c r="S52" s="100">
        <f t="shared" si="162"/>
        <v>9552</v>
      </c>
      <c r="T52" s="100">
        <f t="shared" si="162"/>
        <v>9759</v>
      </c>
      <c r="U52" s="100">
        <f t="shared" si="162"/>
        <v>8993</v>
      </c>
      <c r="V52" s="977">
        <f t="shared" si="162"/>
        <v>8993</v>
      </c>
      <c r="W52" s="100">
        <f t="shared" si="162"/>
        <v>9255</v>
      </c>
      <c r="X52" s="100">
        <f t="shared" si="162"/>
        <v>9340</v>
      </c>
      <c r="Y52" s="100">
        <f t="shared" si="162"/>
        <v>9413</v>
      </c>
      <c r="Z52" s="100">
        <f t="shared" si="162"/>
        <v>9505</v>
      </c>
      <c r="AA52" s="977">
        <f t="shared" si="162"/>
        <v>9505</v>
      </c>
      <c r="AB52" s="100">
        <f t="shared" si="162"/>
        <v>9933</v>
      </c>
      <c r="AC52" s="100">
        <f t="shared" si="162"/>
        <v>9740</v>
      </c>
      <c r="AD52" s="100">
        <f t="shared" si="162"/>
        <v>9622</v>
      </c>
      <c r="AE52" s="100">
        <f t="shared" si="162"/>
        <v>9875</v>
      </c>
      <c r="AF52" s="977">
        <f t="shared" si="162"/>
        <v>9875</v>
      </c>
      <c r="AG52" s="100">
        <f t="shared" si="162"/>
        <v>9892</v>
      </c>
      <c r="AH52" s="100">
        <f t="shared" si="162"/>
        <v>10128</v>
      </c>
      <c r="AI52" s="100">
        <f t="shared" si="162"/>
        <v>10148</v>
      </c>
      <c r="AJ52" s="100">
        <f t="shared" si="162"/>
        <v>10128</v>
      </c>
      <c r="AK52" s="977">
        <f t="shared" si="162"/>
        <v>10128</v>
      </c>
      <c r="AL52" s="100">
        <f t="shared" si="162"/>
        <v>10164</v>
      </c>
      <c r="AM52" s="100">
        <f t="shared" si="162"/>
        <v>10222</v>
      </c>
      <c r="AN52" s="100">
        <f t="shared" si="163" ref="AN52:AQ52">AN427</f>
        <v>10319</v>
      </c>
      <c r="AO52" s="100">
        <f t="shared" si="163"/>
        <v>10441</v>
      </c>
      <c r="AP52" s="977">
        <f t="shared" si="163"/>
        <v>10441</v>
      </c>
      <c r="AQ52" s="100">
        <f t="shared" si="163"/>
        <v>9835</v>
      </c>
      <c r="AR52" s="100">
        <f t="shared" si="164" ref="AR52:AW52">AR427</f>
        <v>9810</v>
      </c>
      <c r="AS52" s="100">
        <f t="shared" si="164"/>
        <v>9714</v>
      </c>
      <c r="AT52" s="100">
        <f t="shared" si="164"/>
        <v>9525</v>
      </c>
      <c r="AU52" s="977">
        <f t="shared" si="164"/>
        <v>9525</v>
      </c>
      <c r="AV52" s="100">
        <f t="shared" si="164"/>
        <v>9082</v>
      </c>
      <c r="AW52" s="100">
        <f t="shared" si="164"/>
        <v>8458</v>
      </c>
      <c r="AX52" s="100">
        <f t="shared" si="165" ref="AX52:BC52">AX427</f>
        <v>8155</v>
      </c>
      <c r="AY52" s="100">
        <f t="shared" si="165"/>
        <v>8593</v>
      </c>
      <c r="AZ52" s="977">
        <f t="shared" si="165"/>
        <v>8593</v>
      </c>
      <c r="BA52" s="100">
        <f t="shared" si="165"/>
        <v>9267</v>
      </c>
      <c r="BB52" s="100">
        <f t="shared" si="165"/>
        <v>8860</v>
      </c>
      <c r="BC52" s="100">
        <f t="shared" si="165"/>
        <v>8771</v>
      </c>
      <c r="BD52" s="100">
        <f>BD427</f>
        <v>9132</v>
      </c>
      <c r="BE52" s="977">
        <f>BE427</f>
        <v>9132</v>
      </c>
      <c r="BF52" s="100">
        <f>BF427</f>
        <v>8819</v>
      </c>
      <c r="BG52" s="100">
        <f>BG427</f>
        <v>8550</v>
      </c>
      <c r="BH52" s="741">
        <f>BH427</f>
        <v>9232</v>
      </c>
      <c r="BI52" s="185">
        <f>BH52+INDEX(MO_DAC_ChangeInDAC,0,COLUMN())</f>
        <v>9115.3803430000007</v>
      </c>
      <c r="BJ52" s="978">
        <f>BI52</f>
        <v>9115.3803430000007</v>
      </c>
      <c r="BK52" s="185">
        <f>BJ52+INDEX(MO_DAC_ChangeInDAC,0,COLUMN())</f>
        <v>9047.0963730000003</v>
      </c>
      <c r="BL52" s="185">
        <f>BK52+INDEX(MO_DAC_ChangeInDAC,0,COLUMN())</f>
        <v>8996.6650310000005</v>
      </c>
      <c r="BM52" s="185">
        <f>BL52+INDEX(MO_DAC_ChangeInDAC,0,COLUMN())</f>
        <v>8899.7283480000006</v>
      </c>
      <c r="BN52" s="185">
        <f>BM52+INDEX(MO_DAC_ChangeInDAC,0,COLUMN())</f>
        <v>8800.8860679999998</v>
      </c>
      <c r="BO52" s="978">
        <f>BN52</f>
        <v>8800.8860679999998</v>
      </c>
      <c r="BP52" s="978">
        <f>BO52+INDEX(MO_DAC_ChangeInDAC,0,COLUMN())</f>
        <v>8413.1170689999999</v>
      </c>
      <c r="BQ52" s="978">
        <f>BP52+INDEX(MO_DAC_ChangeInDAC,0,COLUMN())</f>
        <v>8019.8101900000001</v>
      </c>
      <c r="BR52" s="978">
        <f>BQ52+INDEX(MO_DAC_ChangeInDAC,0,COLUMN())</f>
        <v>7620.7812469999999</v>
      </c>
      <c r="BS52" s="100"/>
    </row>
    <row r="53" spans="1:71" s="224" customFormat="1" ht="15" hidden="1" outlineLevel="1">
      <c r="A53" s="488"/>
      <c r="B53" s="389"/>
      <c r="C53" s="971"/>
      <c r="D53" s="971"/>
      <c r="E53" s="971"/>
      <c r="F53" s="971"/>
      <c r="G53" s="971"/>
      <c r="H53" s="176"/>
      <c r="I53" s="176"/>
      <c r="J53" s="176"/>
      <c r="K53" s="176"/>
      <c r="L53" s="971"/>
      <c r="M53" s="176"/>
      <c r="N53" s="176"/>
      <c r="O53" s="176"/>
      <c r="P53" s="176"/>
      <c r="Q53" s="971"/>
      <c r="R53" s="176"/>
      <c r="S53" s="176"/>
      <c r="T53" s="176"/>
      <c r="U53" s="176"/>
      <c r="V53" s="971"/>
      <c r="W53" s="176"/>
      <c r="X53" s="176"/>
      <c r="Y53" s="176"/>
      <c r="Z53" s="176"/>
      <c r="AA53" s="971"/>
      <c r="AB53" s="176"/>
      <c r="AC53" s="176"/>
      <c r="AD53" s="176"/>
      <c r="AE53" s="176"/>
      <c r="AF53" s="971"/>
      <c r="AG53" s="176"/>
      <c r="AH53" s="176"/>
      <c r="AI53" s="176"/>
      <c r="AJ53" s="176"/>
      <c r="AK53" s="971"/>
      <c r="AL53" s="176"/>
      <c r="AM53" s="176"/>
      <c r="AN53" s="176"/>
      <c r="AO53" s="176"/>
      <c r="AP53" s="971"/>
      <c r="AQ53" s="176"/>
      <c r="AR53" s="176"/>
      <c r="AS53" s="176"/>
      <c r="AT53" s="176"/>
      <c r="AU53" s="971"/>
      <c r="AV53" s="176"/>
      <c r="AW53" s="176"/>
      <c r="AX53" s="176"/>
      <c r="AY53" s="176"/>
      <c r="AZ53" s="971"/>
      <c r="BA53" s="176"/>
      <c r="BB53" s="176"/>
      <c r="BC53" s="176"/>
      <c r="BD53" s="176"/>
      <c r="BE53" s="971"/>
      <c r="BF53" s="176"/>
      <c r="BG53" s="176"/>
      <c r="BH53" s="551"/>
      <c r="BI53" s="176"/>
      <c r="BJ53" s="971"/>
      <c r="BK53" s="176"/>
      <c r="BL53" s="176"/>
      <c r="BM53" s="176"/>
      <c r="BN53" s="176"/>
      <c r="BO53" s="971"/>
      <c r="BP53" s="971"/>
      <c r="BQ53" s="971"/>
      <c r="BR53" s="971"/>
      <c r="BS53" s="229"/>
    </row>
    <row r="54" spans="1:71" s="224" customFormat="1" ht="15" hidden="1" outlineLevel="1">
      <c r="A54" s="390" t="s">
        <v>328</v>
      </c>
      <c r="B54" s="389"/>
      <c r="C54" s="970">
        <f>C174</f>
        <v>942</v>
      </c>
      <c r="D54" s="970">
        <f t="shared" si="166" ref="D54:AM54">D174</f>
        <v>1030</v>
      </c>
      <c r="E54" s="970">
        <f t="shared" si="166"/>
        <v>1033</v>
      </c>
      <c r="F54" s="970">
        <f t="shared" si="166"/>
        <v>1117</v>
      </c>
      <c r="G54" s="970">
        <f t="shared" si="166"/>
        <v>1074</v>
      </c>
      <c r="H54" s="229">
        <f t="shared" si="166"/>
        <v>294</v>
      </c>
      <c r="I54" s="229">
        <f t="shared" si="166"/>
        <v>276</v>
      </c>
      <c r="J54" s="229">
        <f t="shared" si="166"/>
        <v>271</v>
      </c>
      <c r="K54" s="229">
        <f t="shared" si="166"/>
        <v>267</v>
      </c>
      <c r="L54" s="970">
        <f t="shared" si="166"/>
        <v>1108</v>
      </c>
      <c r="M54" s="229">
        <f t="shared" si="166"/>
        <v>277</v>
      </c>
      <c r="N54" s="229">
        <f t="shared" si="166"/>
        <v>255</v>
      </c>
      <c r="O54" s="229">
        <f t="shared" si="166"/>
        <v>258</v>
      </c>
      <c r="P54" s="229">
        <f t="shared" si="166"/>
        <v>276</v>
      </c>
      <c r="Q54" s="970">
        <f t="shared" si="166"/>
        <v>1066</v>
      </c>
      <c r="R54" s="229">
        <f t="shared" si="166"/>
        <v>292</v>
      </c>
      <c r="S54" s="229">
        <f t="shared" si="166"/>
        <v>284</v>
      </c>
      <c r="T54" s="229">
        <f t="shared" si="166"/>
        <v>282</v>
      </c>
      <c r="U54" s="229">
        <f t="shared" si="166"/>
        <v>283</v>
      </c>
      <c r="V54" s="970">
        <f t="shared" si="166"/>
        <v>1141</v>
      </c>
      <c r="W54" s="229">
        <f t="shared" si="166"/>
        <v>294</v>
      </c>
      <c r="X54" s="229">
        <f t="shared" si="166"/>
        <v>283</v>
      </c>
      <c r="Y54" s="229">
        <f t="shared" si="166"/>
        <v>271</v>
      </c>
      <c r="Z54" s="229">
        <f t="shared" si="166"/>
        <v>284</v>
      </c>
      <c r="AA54" s="970">
        <f t="shared" si="166"/>
        <v>1132</v>
      </c>
      <c r="AB54" s="229">
        <f t="shared" si="166"/>
        <v>314</v>
      </c>
      <c r="AC54" s="229">
        <f t="shared" si="166"/>
        <v>303</v>
      </c>
      <c r="AD54" s="229">
        <f t="shared" si="166"/>
        <v>315</v>
      </c>
      <c r="AE54" s="229">
        <f t="shared" si="166"/>
        <v>313</v>
      </c>
      <c r="AF54" s="970">
        <f t="shared" si="166"/>
        <v>1245</v>
      </c>
      <c r="AG54" s="229">
        <f t="shared" si="166"/>
        <v>340</v>
      </c>
      <c r="AH54" s="229">
        <f t="shared" si="166"/>
        <v>309</v>
      </c>
      <c r="AI54" s="229">
        <f t="shared" si="166"/>
        <v>317</v>
      </c>
      <c r="AJ54" s="229">
        <f t="shared" si="166"/>
        <v>316</v>
      </c>
      <c r="AK54" s="970">
        <f t="shared" si="166"/>
        <v>1282</v>
      </c>
      <c r="AL54" s="229">
        <f t="shared" si="166"/>
        <v>333</v>
      </c>
      <c r="AM54" s="229">
        <f t="shared" si="166"/>
        <v>289</v>
      </c>
      <c r="AN54" s="229">
        <f t="shared" si="167" ref="AN54:AQ54">AN174</f>
        <v>292</v>
      </c>
      <c r="AO54" s="229">
        <f t="shared" si="167"/>
        <v>300</v>
      </c>
      <c r="AP54" s="970">
        <f t="shared" si="167"/>
        <v>1214</v>
      </c>
      <c r="AQ54" s="229">
        <f t="shared" si="167"/>
        <v>311</v>
      </c>
      <c r="AR54" s="229">
        <f t="shared" si="168" ref="AR54:AW54">AR174</f>
        <v>280</v>
      </c>
      <c r="AS54" s="229">
        <f t="shared" si="168"/>
        <v>278</v>
      </c>
      <c r="AT54" s="229">
        <f t="shared" si="168"/>
        <v>301</v>
      </c>
      <c r="AU54" s="970">
        <f t="shared" si="168"/>
        <v>1170</v>
      </c>
      <c r="AV54" s="229">
        <f t="shared" si="168"/>
        <v>207</v>
      </c>
      <c r="AW54" s="229">
        <f t="shared" si="168"/>
        <v>197</v>
      </c>
      <c r="AX54" s="229">
        <f t="shared" si="169" ref="AX54:BC54">AX174</f>
        <v>194</v>
      </c>
      <c r="AY54" s="229">
        <f t="shared" si="169"/>
        <v>194</v>
      </c>
      <c r="AZ54" s="970">
        <f>AZ174</f>
        <v>792</v>
      </c>
      <c r="BA54" s="229">
        <f t="shared" si="169"/>
        <v>205</v>
      </c>
      <c r="BB54" s="229">
        <f t="shared" si="169"/>
        <v>202</v>
      </c>
      <c r="BC54" s="229">
        <f t="shared" si="169"/>
        <v>201</v>
      </c>
      <c r="BD54" s="229">
        <f>BD174</f>
        <v>208</v>
      </c>
      <c r="BE54" s="970">
        <f>BE174</f>
        <v>816</v>
      </c>
      <c r="BF54" s="229">
        <f>BF174</f>
        <v>215</v>
      </c>
      <c r="BG54" s="229">
        <f>BG174</f>
        <v>208</v>
      </c>
      <c r="BH54" s="738">
        <f>BH174</f>
        <v>214</v>
      </c>
      <c r="BI54" s="176">
        <f>BI29</f>
        <v>302.47565659836067</v>
      </c>
      <c r="BJ54" s="971">
        <f>SUM(BF54,BG54,BH54,BI54)</f>
        <v>939.47565659836073</v>
      </c>
      <c r="BK54" s="176">
        <f>BK29</f>
        <v>231.16271982191779</v>
      </c>
      <c r="BL54" s="176">
        <f>BL29</f>
        <v>212.65259210958902</v>
      </c>
      <c r="BM54" s="176">
        <f>BM29</f>
        <v>271.01893283287671</v>
      </c>
      <c r="BN54" s="176">
        <f>BN29</f>
        <v>297.20705956534243</v>
      </c>
      <c r="BO54" s="971">
        <f>SUM(BK54,BL54,BM54,BN54)</f>
        <v>1012.041304329726</v>
      </c>
      <c r="BP54" s="971">
        <f>BP29</f>
        <v>1090.7221593572813</v>
      </c>
      <c r="BQ54" s="971">
        <f>BQ29</f>
        <v>1101.7128838588801</v>
      </c>
      <c r="BR54" s="971">
        <f>BR29</f>
        <v>1112.9349373313103</v>
      </c>
      <c r="BS54" s="229"/>
    </row>
    <row r="55" spans="1:71" s="224" customFormat="1" ht="15" hidden="1" outlineLevel="1">
      <c r="A55" s="391" t="s">
        <v>329</v>
      </c>
      <c r="B55" s="389"/>
      <c r="C55" s="971"/>
      <c r="D55" s="970">
        <f t="shared" si="170" ref="D55:AY55">D54+D56</f>
        <v>2231</v>
      </c>
      <c r="E55" s="970">
        <f t="shared" si="170"/>
        <v>1088</v>
      </c>
      <c r="F55" s="970">
        <f t="shared" si="170"/>
        <v>986</v>
      </c>
      <c r="G55" s="970">
        <f t="shared" si="170"/>
        <v>214</v>
      </c>
      <c r="H55" s="229">
        <f t="shared" si="170"/>
        <v>461</v>
      </c>
      <c r="I55" s="229">
        <f t="shared" si="170"/>
        <v>428</v>
      </c>
      <c r="J55" s="229">
        <f t="shared" si="170"/>
        <v>-133</v>
      </c>
      <c r="K55" s="229">
        <f t="shared" si="170"/>
        <v>-173</v>
      </c>
      <c r="L55" s="970">
        <f t="shared" si="170"/>
        <v>583</v>
      </c>
      <c r="M55" s="229">
        <f t="shared" si="170"/>
        <v>323</v>
      </c>
      <c r="N55" s="229">
        <f t="shared" si="170"/>
        <v>214</v>
      </c>
      <c r="O55" s="229">
        <f t="shared" si="170"/>
        <v>431</v>
      </c>
      <c r="P55" s="229">
        <f t="shared" si="170"/>
        <v>336</v>
      </c>
      <c r="Q55" s="970">
        <f t="shared" si="170"/>
        <v>1304</v>
      </c>
      <c r="R55" s="229">
        <f t="shared" si="170"/>
        <v>710</v>
      </c>
      <c r="S55" s="229">
        <f t="shared" si="170"/>
        <v>907</v>
      </c>
      <c r="T55" s="229">
        <f t="shared" si="170"/>
        <v>489</v>
      </c>
      <c r="U55" s="229">
        <f t="shared" si="170"/>
        <v>-483</v>
      </c>
      <c r="V55" s="970">
        <f t="shared" si="170"/>
        <v>1623</v>
      </c>
      <c r="W55" s="229">
        <f t="shared" si="170"/>
        <v>556</v>
      </c>
      <c r="X55" s="229">
        <f t="shared" si="170"/>
        <v>368</v>
      </c>
      <c r="Y55" s="229">
        <f t="shared" si="170"/>
        <v>344</v>
      </c>
      <c r="Z55" s="229">
        <f t="shared" si="170"/>
        <v>376</v>
      </c>
      <c r="AA55" s="970">
        <f t="shared" si="170"/>
        <v>1644</v>
      </c>
      <c r="AB55" s="229">
        <f t="shared" si="170"/>
        <v>742</v>
      </c>
      <c r="AC55" s="229">
        <f t="shared" si="170"/>
        <v>110</v>
      </c>
      <c r="AD55" s="229">
        <f t="shared" si="170"/>
        <v>197</v>
      </c>
      <c r="AE55" s="229">
        <f t="shared" si="170"/>
        <v>566</v>
      </c>
      <c r="AF55" s="970">
        <f t="shared" si="170"/>
        <v>1615</v>
      </c>
      <c r="AG55" s="229">
        <f t="shared" si="170"/>
        <v>357</v>
      </c>
      <c r="AH55" s="229">
        <f t="shared" si="170"/>
        <v>545</v>
      </c>
      <c r="AI55" s="229">
        <f t="shared" si="170"/>
        <v>337</v>
      </c>
      <c r="AJ55" s="229">
        <f t="shared" si="170"/>
        <v>296</v>
      </c>
      <c r="AK55" s="970">
        <f t="shared" si="170"/>
        <v>1535</v>
      </c>
      <c r="AL55" s="229">
        <f t="shared" si="170"/>
        <v>369</v>
      </c>
      <c r="AM55" s="229">
        <f t="shared" si="170"/>
        <v>347</v>
      </c>
      <c r="AN55" s="229">
        <f t="shared" si="170"/>
        <v>389</v>
      </c>
      <c r="AO55" s="229">
        <f t="shared" si="170"/>
        <v>422</v>
      </c>
      <c r="AP55" s="970">
        <f t="shared" si="170"/>
        <v>1527</v>
      </c>
      <c r="AQ55" s="229">
        <f t="shared" si="170"/>
        <v>-295</v>
      </c>
      <c r="AR55" s="229">
        <f t="shared" si="170"/>
        <v>255</v>
      </c>
      <c r="AS55" s="229">
        <f t="shared" si="170"/>
        <v>182</v>
      </c>
      <c r="AT55" s="229">
        <f t="shared" si="170"/>
        <v>112</v>
      </c>
      <c r="AU55" s="970">
        <f t="shared" si="170"/>
        <v>254</v>
      </c>
      <c r="AV55" s="229">
        <f t="shared" si="170"/>
        <v>-236</v>
      </c>
      <c r="AW55" s="229">
        <f t="shared" si="170"/>
        <v>-427</v>
      </c>
      <c r="AX55" s="229">
        <f t="shared" si="170"/>
        <v>-109</v>
      </c>
      <c r="AY55" s="229">
        <f t="shared" si="170"/>
        <v>632</v>
      </c>
      <c r="AZ55" s="970">
        <f>AZ54+AZ56</f>
        <v>-140</v>
      </c>
      <c r="BA55" s="229">
        <f t="shared" si="171" ref="BA55:BE55">BA54+BA56</f>
        <v>879</v>
      </c>
      <c r="BB55" s="229">
        <f t="shared" si="171"/>
        <v>-205</v>
      </c>
      <c r="BC55" s="229">
        <f t="shared" si="171"/>
        <v>112</v>
      </c>
      <c r="BD55" s="229">
        <f t="shared" si="171"/>
        <v>569</v>
      </c>
      <c r="BE55" s="970">
        <f t="shared" si="171"/>
        <v>1355</v>
      </c>
      <c r="BF55" s="229">
        <f>BF54+BF56</f>
        <v>-98</v>
      </c>
      <c r="BG55" s="229">
        <f>BG54+BG56</f>
        <v>-61</v>
      </c>
      <c r="BH55" s="738">
        <f>BH54+BH56</f>
        <v>896</v>
      </c>
      <c r="BI55" s="176">
        <f>BI18*BI58</f>
        <v>185.85599999999999</v>
      </c>
      <c r="BJ55" s="971">
        <f>SUM(BF55,BG55,BH55,BI55)</f>
        <v>922.85599999999999</v>
      </c>
      <c r="BK55" s="176">
        <f>BK18*BK58</f>
        <v>162.87875</v>
      </c>
      <c r="BL55" s="176">
        <f>BL18*BL58</f>
        <v>162.22125000000003</v>
      </c>
      <c r="BM55" s="176">
        <f>BM18*BM58</f>
        <v>174.08224999999999</v>
      </c>
      <c r="BN55" s="176">
        <f>BN18*BN58</f>
        <v>198.36478000000002</v>
      </c>
      <c r="BO55" s="971">
        <f>SUM(BK55,BL55,BM55,BN55)</f>
        <v>697.54703000000006</v>
      </c>
      <c r="BP55" s="971">
        <f>BP18*BP58</f>
        <v>702.95316015000003</v>
      </c>
      <c r="BQ55" s="971">
        <f>BQ18*BQ58</f>
        <v>708.40600490074996</v>
      </c>
      <c r="BR55" s="971">
        <f>BR18*BR58</f>
        <v>713.90599466475373</v>
      </c>
      <c r="BS55" s="229"/>
    </row>
    <row r="56" spans="1:71" s="44" customFormat="1" ht="15" hidden="1" outlineLevel="1">
      <c r="A56" s="373" t="s">
        <v>330</v>
      </c>
      <c r="B56" s="386"/>
      <c r="C56" s="982"/>
      <c r="D56" s="983">
        <f t="shared" si="172" ref="D56:K56">D52-C52</f>
        <v>1201</v>
      </c>
      <c r="E56" s="983">
        <f t="shared" si="172"/>
        <v>55</v>
      </c>
      <c r="F56" s="983">
        <f t="shared" si="172"/>
        <v>-131</v>
      </c>
      <c r="G56" s="983">
        <f t="shared" si="172"/>
        <v>-860</v>
      </c>
      <c r="H56" s="111">
        <f t="shared" si="172"/>
        <v>167</v>
      </c>
      <c r="I56" s="111">
        <f t="shared" si="172"/>
        <v>152</v>
      </c>
      <c r="J56" s="111">
        <f t="shared" si="172"/>
        <v>-404</v>
      </c>
      <c r="K56" s="111">
        <f t="shared" si="172"/>
        <v>-440</v>
      </c>
      <c r="L56" s="983">
        <f>L52-G52</f>
        <v>-525</v>
      </c>
      <c r="M56" s="111">
        <f>M52-L52</f>
        <v>46</v>
      </c>
      <c r="N56" s="111">
        <f>N52-M52</f>
        <v>-41</v>
      </c>
      <c r="O56" s="111">
        <f>O52-N52</f>
        <v>173</v>
      </c>
      <c r="P56" s="111">
        <f>P52-O52</f>
        <v>60</v>
      </c>
      <c r="Q56" s="983">
        <f>Q52-L52</f>
        <v>238</v>
      </c>
      <c r="R56" s="111">
        <f>R52-Q52</f>
        <v>418</v>
      </c>
      <c r="S56" s="111">
        <f>S52-R52</f>
        <v>623</v>
      </c>
      <c r="T56" s="111">
        <f>T52-S52</f>
        <v>207</v>
      </c>
      <c r="U56" s="111">
        <f>U52-T52</f>
        <v>-766</v>
      </c>
      <c r="V56" s="983">
        <f>V52-Q52</f>
        <v>482</v>
      </c>
      <c r="W56" s="111">
        <f>W52-V52</f>
        <v>262</v>
      </c>
      <c r="X56" s="111">
        <f>X52-W52</f>
        <v>85</v>
      </c>
      <c r="Y56" s="111">
        <f>Y52-X52</f>
        <v>73</v>
      </c>
      <c r="Z56" s="111">
        <f>Z52-Y52</f>
        <v>92</v>
      </c>
      <c r="AA56" s="983">
        <f>AA52-V52</f>
        <v>512</v>
      </c>
      <c r="AB56" s="111">
        <f>AB52-AA52</f>
        <v>428</v>
      </c>
      <c r="AC56" s="111">
        <f>AC52-AB52</f>
        <v>-193</v>
      </c>
      <c r="AD56" s="111">
        <f>AD52-AC52</f>
        <v>-118</v>
      </c>
      <c r="AE56" s="111">
        <f>AE52-AD52</f>
        <v>253</v>
      </c>
      <c r="AF56" s="983">
        <f>AF52-AA52</f>
        <v>370</v>
      </c>
      <c r="AG56" s="111">
        <f>AG52-AF52</f>
        <v>17</v>
      </c>
      <c r="AH56" s="111">
        <f>AH52-AG52</f>
        <v>236</v>
      </c>
      <c r="AI56" s="111">
        <f>AI52-AH52</f>
        <v>20</v>
      </c>
      <c r="AJ56" s="111">
        <f>AJ52-AI52</f>
        <v>-20</v>
      </c>
      <c r="AK56" s="983">
        <f>AK52-AF52</f>
        <v>253</v>
      </c>
      <c r="AL56" s="111">
        <f>AL52-AK52</f>
        <v>36</v>
      </c>
      <c r="AM56" s="111">
        <f>AM52-AL52</f>
        <v>58</v>
      </c>
      <c r="AN56" s="111">
        <f>AN52-AM52</f>
        <v>97</v>
      </c>
      <c r="AO56" s="111">
        <f>AO52-AN52</f>
        <v>122</v>
      </c>
      <c r="AP56" s="983">
        <f>AP52-AK52</f>
        <v>313</v>
      </c>
      <c r="AQ56" s="111">
        <f>AQ52-AP52</f>
        <v>-606</v>
      </c>
      <c r="AR56" s="111">
        <f>AR52-AQ52</f>
        <v>-25</v>
      </c>
      <c r="AS56" s="111">
        <f>AS52-AR52</f>
        <v>-96</v>
      </c>
      <c r="AT56" s="111">
        <f>AT52-AS52</f>
        <v>-189</v>
      </c>
      <c r="AU56" s="983">
        <f>AU52-AP52</f>
        <v>-916</v>
      </c>
      <c r="AV56" s="111">
        <f>AV52-AU52</f>
        <v>-443</v>
      </c>
      <c r="AW56" s="111">
        <f>AW52-AV52</f>
        <v>-624</v>
      </c>
      <c r="AX56" s="111">
        <f>AX52-AW52</f>
        <v>-303</v>
      </c>
      <c r="AY56" s="111">
        <f>AY52-AX52</f>
        <v>438</v>
      </c>
      <c r="AZ56" s="983">
        <f>AZ52-AU52</f>
        <v>-932</v>
      </c>
      <c r="BA56" s="111">
        <f>BA52-AZ52</f>
        <v>674</v>
      </c>
      <c r="BB56" s="111">
        <f>BB52-BA52</f>
        <v>-407</v>
      </c>
      <c r="BC56" s="111">
        <f>BC52-BB52</f>
        <v>-89</v>
      </c>
      <c r="BD56" s="111">
        <f>BD52-BC52</f>
        <v>361</v>
      </c>
      <c r="BE56" s="983">
        <f>BE52-AZ52</f>
        <v>539</v>
      </c>
      <c r="BF56" s="111">
        <f>BF52-BE52</f>
        <v>-313</v>
      </c>
      <c r="BG56" s="111">
        <f>BG52-BF52</f>
        <v>-269</v>
      </c>
      <c r="BH56" s="743">
        <f>BH52-BG52</f>
        <v>682</v>
      </c>
      <c r="BI56" s="25">
        <f>ROUND(INDEX(MO_DAC_PAEPaid,0,COLUMN())-INDEX(MO_DAC_PAEIncurred,0,COLUMN()),6)</f>
        <v>-116.619657</v>
      </c>
      <c r="BJ56" s="982">
        <f>SUM(BF56,BG56,BH56,BI56)</f>
        <v>-16.619657000000004</v>
      </c>
      <c r="BK56" s="25">
        <f>ROUND(INDEX(MO_DAC_PAEPaid,0,COLUMN())-INDEX(MO_DAC_PAEIncurred,0,COLUMN()),6)</f>
        <v>-68.283969999999997</v>
      </c>
      <c r="BL56" s="25">
        <f>ROUND(INDEX(MO_DAC_PAEPaid,0,COLUMN())-INDEX(MO_DAC_PAEIncurred,0,COLUMN()),6)</f>
        <v>-50.431342000000001</v>
      </c>
      <c r="BM56" s="25">
        <f>ROUND(INDEX(MO_DAC_PAEPaid,0,COLUMN())-INDEX(MO_DAC_PAEIncurred,0,COLUMN()),6)</f>
        <v>-96.936683000000002</v>
      </c>
      <c r="BN56" s="25">
        <f>ROUND(INDEX(MO_DAC_PAEPaid,0,COLUMN())-INDEX(MO_DAC_PAEIncurred,0,COLUMN()),6)</f>
        <v>-98.842280000000002</v>
      </c>
      <c r="BO56" s="982">
        <f>SUM(BK56,BL56,BM56,BN56)</f>
        <v>-314.49427500000002</v>
      </c>
      <c r="BP56" s="982">
        <f>ROUND(INDEX(MO_DAC_PAEPaid,0,COLUMN())-INDEX(MO_DAC_PAEIncurred,0,COLUMN()),6)</f>
        <v>-387.76899900000001</v>
      </c>
      <c r="BQ56" s="982">
        <f>ROUND(INDEX(MO_DAC_PAEPaid,0,COLUMN())-INDEX(MO_DAC_PAEIncurred,0,COLUMN()),6)</f>
        <v>-393.30687899999998</v>
      </c>
      <c r="BR56" s="982">
        <f>ROUND(INDEX(MO_DAC_PAEPaid,0,COLUMN())-INDEX(MO_DAC_PAEIncurred,0,COLUMN()),6)</f>
        <v>-399.02894300000003</v>
      </c>
      <c r="BS56" s="100"/>
    </row>
    <row r="57" spans="1:71" s="224" customFormat="1" ht="15" hidden="1" outlineLevel="1">
      <c r="A57" s="488"/>
      <c r="B57" s="389"/>
      <c r="C57" s="971"/>
      <c r="D57" s="971"/>
      <c r="E57" s="971"/>
      <c r="F57" s="971"/>
      <c r="G57" s="971"/>
      <c r="H57" s="176"/>
      <c r="I57" s="176"/>
      <c r="J57" s="176"/>
      <c r="K57" s="176"/>
      <c r="L57" s="971"/>
      <c r="M57" s="176"/>
      <c r="N57" s="176"/>
      <c r="O57" s="176"/>
      <c r="P57" s="176"/>
      <c r="Q57" s="971"/>
      <c r="R57" s="176"/>
      <c r="S57" s="176"/>
      <c r="T57" s="176"/>
      <c r="U57" s="176"/>
      <c r="V57" s="971"/>
      <c r="W57" s="176"/>
      <c r="X57" s="176"/>
      <c r="Y57" s="176"/>
      <c r="Z57" s="176"/>
      <c r="AA57" s="971"/>
      <c r="AB57" s="176"/>
      <c r="AC57" s="176"/>
      <c r="AD57" s="176"/>
      <c r="AE57" s="176"/>
      <c r="AF57" s="971"/>
      <c r="AG57" s="176"/>
      <c r="AH57" s="176"/>
      <c r="AI57" s="176"/>
      <c r="AJ57" s="176"/>
      <c r="AK57" s="971"/>
      <c r="AL57" s="176"/>
      <c r="AM57" s="176"/>
      <c r="AN57" s="176"/>
      <c r="AO57" s="176"/>
      <c r="AP57" s="971"/>
      <c r="AQ57" s="176"/>
      <c r="AR57" s="176"/>
      <c r="AS57" s="176"/>
      <c r="AT57" s="176"/>
      <c r="AU57" s="971"/>
      <c r="AV57" s="176"/>
      <c r="AW57" s="176"/>
      <c r="AX57" s="176"/>
      <c r="AY57" s="176"/>
      <c r="AZ57" s="971"/>
      <c r="BA57" s="176"/>
      <c r="BB57" s="176"/>
      <c r="BC57" s="176"/>
      <c r="BD57" s="176"/>
      <c r="BE57" s="971"/>
      <c r="BF57" s="176"/>
      <c r="BG57" s="176"/>
      <c r="BH57" s="551"/>
      <c r="BI57" s="176"/>
      <c r="BJ57" s="971"/>
      <c r="BK57" s="176"/>
      <c r="BL57" s="176"/>
      <c r="BM57" s="176"/>
      <c r="BN57" s="176"/>
      <c r="BO57" s="971"/>
      <c r="BP57" s="971"/>
      <c r="BQ57" s="971"/>
      <c r="BR57" s="971"/>
      <c r="BS57" s="229"/>
    </row>
    <row r="58" spans="1:71" s="46" customFormat="1" ht="15" hidden="1" outlineLevel="1">
      <c r="A58" s="392" t="s">
        <v>331</v>
      </c>
      <c r="B58" s="396"/>
      <c r="C58" s="979"/>
      <c r="D58" s="979">
        <f t="shared" si="173" ref="D58:AM58">D55/D18</f>
        <v>0.1234438112100924</v>
      </c>
      <c r="E58" s="979">
        <f t="shared" si="173"/>
        <v>0.053432865140948825</v>
      </c>
      <c r="F58" s="979">
        <f t="shared" si="173"/>
        <v>0.044518692432725306</v>
      </c>
      <c r="G58" s="979">
        <f t="shared" si="173"/>
        <v>0.010628259250062081</v>
      </c>
      <c r="H58" s="644">
        <f t="shared" si="173"/>
        <v>0.094973217964565301</v>
      </c>
      <c r="I58" s="644">
        <f t="shared" si="173"/>
        <v>0.087561374795417354</v>
      </c>
      <c r="J58" s="644">
        <f t="shared" si="173"/>
        <v>-0.027473662466432555</v>
      </c>
      <c r="K58" s="644">
        <f t="shared" si="173"/>
        <v>-0.038538650033415014</v>
      </c>
      <c r="L58" s="979">
        <f t="shared" si="173"/>
        <v>0.030568372483221477</v>
      </c>
      <c r="M58" s="644">
        <f t="shared" si="173"/>
        <v>0.07287906137184115</v>
      </c>
      <c r="N58" s="644">
        <f t="shared" si="173"/>
        <v>0.049037580201649861</v>
      </c>
      <c r="O58" s="644">
        <f t="shared" si="173"/>
        <v>0.098401826484018268</v>
      </c>
      <c r="P58" s="644">
        <f t="shared" si="173"/>
        <v>0.076467910787437421</v>
      </c>
      <c r="Q58" s="979">
        <f t="shared" si="173"/>
        <v>0.074217416050085375</v>
      </c>
      <c r="R58" s="644">
        <f t="shared" si="173"/>
        <v>0.15428074750108647</v>
      </c>
      <c r="S58" s="644">
        <f t="shared" si="173"/>
        <v>0.18805722579307485</v>
      </c>
      <c r="T58" s="644">
        <f t="shared" si="173"/>
        <v>0.097371565113500591</v>
      </c>
      <c r="U58" s="644">
        <f t="shared" si="173"/>
        <v>-0.10108832147341984</v>
      </c>
      <c r="V58" s="979">
        <f t="shared" si="173"/>
        <v>0.084421326397919369</v>
      </c>
      <c r="W58" s="644">
        <f t="shared" si="173"/>
        <v>0.1198792583009918</v>
      </c>
      <c r="X58" s="644">
        <f t="shared" si="173"/>
        <v>0.078885316184351559</v>
      </c>
      <c r="Y58" s="644">
        <f t="shared" si="173"/>
        <v>0.074010327022375214</v>
      </c>
      <c r="Z58" s="644">
        <f t="shared" si="173"/>
        <v>0.082096069868995633</v>
      </c>
      <c r="AA58" s="979">
        <f t="shared" si="173"/>
        <v>0.088716205277642873</v>
      </c>
      <c r="AB58" s="644">
        <f t="shared" si="173"/>
        <v>0.15637513171759748</v>
      </c>
      <c r="AC58" s="644">
        <f t="shared" si="173"/>
        <v>0.023374415639609011</v>
      </c>
      <c r="AD58" s="644">
        <f t="shared" si="173"/>
        <v>0.042493528904227786</v>
      </c>
      <c r="AE58" s="644">
        <f t="shared" si="173"/>
        <v>0.1233115468409586</v>
      </c>
      <c r="AF58" s="979">
        <f t="shared" si="173"/>
        <v>0.086469989827060015</v>
      </c>
      <c r="AG58" s="644">
        <f t="shared" si="173"/>
        <v>0.076103176295033048</v>
      </c>
      <c r="AH58" s="644">
        <f t="shared" si="173"/>
        <v>0.11642811365092928</v>
      </c>
      <c r="AI58" s="644">
        <f t="shared" si="173"/>
        <v>0.0711570945945946</v>
      </c>
      <c r="AJ58" s="644">
        <f t="shared" si="173"/>
        <v>0.063356164383561647</v>
      </c>
      <c r="AK58" s="979">
        <f t="shared" si="173"/>
        <v>0.081735889243876467</v>
      </c>
      <c r="AL58" s="644">
        <f t="shared" si="173"/>
        <v>0.078829309976500742</v>
      </c>
      <c r="AM58" s="644">
        <f t="shared" si="173"/>
        <v>0.074399656946826764</v>
      </c>
      <c r="AN58" s="644">
        <f t="shared" si="174" ref="AN58:AQ58">AN55/AN18</f>
        <v>0.084144494916720741</v>
      </c>
      <c r="AO58" s="644">
        <f t="shared" si="174"/>
        <v>0.090674688440051568</v>
      </c>
      <c r="AP58" s="979">
        <f t="shared" si="174"/>
        <v>0.081999785200300726</v>
      </c>
      <c r="AQ58" s="644">
        <f t="shared" si="174"/>
        <v>-0.064228173307206621</v>
      </c>
      <c r="AR58" s="644">
        <f t="shared" si="175" ref="AR58:AW58">AR55/AR18</f>
        <v>0.057419500112587257</v>
      </c>
      <c r="AS58" s="644">
        <f t="shared" si="175"/>
        <v>0.041628545288197621</v>
      </c>
      <c r="AT58" s="644">
        <f t="shared" si="175"/>
        <v>0.026408865833529829</v>
      </c>
      <c r="AU58" s="979">
        <f t="shared" si="175"/>
        <v>0.014393381311271037</v>
      </c>
      <c r="AV58" s="644">
        <f t="shared" si="175"/>
        <v>-0.057857317970090708</v>
      </c>
      <c r="AW58" s="644">
        <f t="shared" si="175"/>
        <v>-0.11344314558979808</v>
      </c>
      <c r="AX58" s="644">
        <f t="shared" si="176" ref="AX58:BC58">AX55/AX18</f>
        <v>-0.030834512022630836</v>
      </c>
      <c r="AY58" s="644">
        <f t="shared" si="176"/>
        <v>0.17939256315640079</v>
      </c>
      <c r="AZ58" s="979">
        <f t="shared" si="176"/>
        <v>-0.0093953425944567487</v>
      </c>
      <c r="BA58" s="644">
        <f t="shared" si="176"/>
        <v>0.23834056399132322</v>
      </c>
      <c r="BB58" s="644">
        <f t="shared" si="176"/>
        <v>-0.057374755107752591</v>
      </c>
      <c r="BC58" s="644">
        <f t="shared" si="176"/>
        <v>0.032220943613348679</v>
      </c>
      <c r="BD58" s="644">
        <f>BD55/BD18</f>
        <v>0.16804489072652096</v>
      </c>
      <c r="BE58" s="979">
        <f>BE55/BE18</f>
        <v>0.095942788359413722</v>
      </c>
      <c r="BF58" s="644">
        <f>BF55/BF18</f>
        <v>-0.028356481481481483</v>
      </c>
      <c r="BG58" s="644">
        <f>BG55/BG18</f>
        <v>-0.018345864661654134</v>
      </c>
      <c r="BH58" s="744">
        <f>BH55/BH18</f>
        <v>0.26923076923076922</v>
      </c>
      <c r="BI58" s="882">
        <v>0.05</v>
      </c>
      <c r="BJ58" s="979">
        <f>BJ55/BJ18</f>
        <v>0.066747287019062476</v>
      </c>
      <c r="BK58" s="882">
        <v>0.05</v>
      </c>
      <c r="BL58" s="882">
        <v>0.05</v>
      </c>
      <c r="BM58" s="882">
        <v>0.05</v>
      </c>
      <c r="BN58" s="882">
        <v>0.05</v>
      </c>
      <c r="BO58" s="979">
        <f>BO55/BO18</f>
        <v>0.05</v>
      </c>
      <c r="BP58" s="981">
        <v>0.05</v>
      </c>
      <c r="BQ58" s="981">
        <v>0.05</v>
      </c>
      <c r="BR58" s="981">
        <v>0.05</v>
      </c>
      <c r="BS58" s="93"/>
    </row>
    <row r="59" spans="1:71" s="224" customFormat="1" ht="15" collapsed="1">
      <c r="A59" s="370"/>
      <c r="B59" s="389"/>
      <c r="C59" s="971"/>
      <c r="D59" s="971"/>
      <c r="E59" s="971"/>
      <c r="F59" s="971"/>
      <c r="G59" s="971"/>
      <c r="H59" s="176"/>
      <c r="I59" s="176"/>
      <c r="J59" s="176"/>
      <c r="K59" s="176"/>
      <c r="L59" s="971"/>
      <c r="M59" s="176"/>
      <c r="N59" s="176"/>
      <c r="O59" s="176"/>
      <c r="P59" s="176"/>
      <c r="Q59" s="971"/>
      <c r="R59" s="176"/>
      <c r="S59" s="176"/>
      <c r="T59" s="176"/>
      <c r="U59" s="176"/>
      <c r="V59" s="971"/>
      <c r="W59" s="176"/>
      <c r="X59" s="176"/>
      <c r="Y59" s="176"/>
      <c r="Z59" s="176"/>
      <c r="AA59" s="971"/>
      <c r="AB59" s="176"/>
      <c r="AC59" s="176"/>
      <c r="AD59" s="176"/>
      <c r="AE59" s="176"/>
      <c r="AF59" s="971"/>
      <c r="AG59" s="176"/>
      <c r="AH59" s="176"/>
      <c r="AI59" s="176"/>
      <c r="AJ59" s="176"/>
      <c r="AK59" s="971"/>
      <c r="AL59" s="176"/>
      <c r="AM59" s="176"/>
      <c r="AN59" s="176"/>
      <c r="AO59" s="176"/>
      <c r="AP59" s="971"/>
      <c r="AQ59" s="176"/>
      <c r="AR59" s="176"/>
      <c r="AS59" s="176"/>
      <c r="AT59" s="176"/>
      <c r="AU59" s="971"/>
      <c r="AV59" s="176"/>
      <c r="AW59" s="176"/>
      <c r="AX59" s="176"/>
      <c r="AY59" s="176"/>
      <c r="AZ59" s="971"/>
      <c r="BA59" s="176"/>
      <c r="BB59" s="176"/>
      <c r="BC59" s="176"/>
      <c r="BD59" s="176"/>
      <c r="BE59" s="971"/>
      <c r="BF59" s="176"/>
      <c r="BG59" s="176"/>
      <c r="BH59" s="551"/>
      <c r="BI59" s="176"/>
      <c r="BJ59" s="971"/>
      <c r="BK59" s="176"/>
      <c r="BL59" s="176"/>
      <c r="BM59" s="176"/>
      <c r="BN59" s="176"/>
      <c r="BO59" s="971"/>
      <c r="BP59" s="971"/>
      <c r="BQ59" s="971"/>
      <c r="BR59" s="971"/>
      <c r="BS59" s="229"/>
    </row>
    <row r="60" spans="1:71" s="43" customFormat="1" ht="15">
      <c r="A60" s="812" t="s">
        <v>19</v>
      </c>
      <c r="B60" s="812"/>
      <c r="C60" s="828"/>
      <c r="D60" s="828"/>
      <c r="E60" s="828"/>
      <c r="F60" s="828"/>
      <c r="G60" s="828"/>
      <c r="H60" s="828"/>
      <c r="I60" s="828"/>
      <c r="J60" s="828"/>
      <c r="K60" s="828"/>
      <c r="L60" s="828"/>
      <c r="M60" s="828"/>
      <c r="N60" s="828"/>
      <c r="O60" s="828"/>
      <c r="P60" s="828"/>
      <c r="Q60" s="828"/>
      <c r="R60" s="828"/>
      <c r="S60" s="828"/>
      <c r="T60" s="828"/>
      <c r="U60" s="828"/>
      <c r="V60" s="828"/>
      <c r="W60" s="828"/>
      <c r="X60" s="828"/>
      <c r="Y60" s="828"/>
      <c r="Z60" s="828"/>
      <c r="AA60" s="828"/>
      <c r="AB60" s="828"/>
      <c r="AC60" s="828"/>
      <c r="AD60" s="828"/>
      <c r="AE60" s="828"/>
      <c r="AF60" s="828"/>
      <c r="AG60" s="828"/>
      <c r="AH60" s="828"/>
      <c r="AI60" s="828"/>
      <c r="AJ60" s="828"/>
      <c r="AK60" s="828"/>
      <c r="AL60" s="828"/>
      <c r="AM60" s="828"/>
      <c r="AN60" s="828"/>
      <c r="AO60" s="828"/>
      <c r="AP60" s="828"/>
      <c r="AQ60" s="828"/>
      <c r="AR60" s="828"/>
      <c r="AS60" s="828"/>
      <c r="AT60" s="828"/>
      <c r="AU60" s="828"/>
      <c r="AV60" s="828"/>
      <c r="AW60" s="828"/>
      <c r="AX60" s="828"/>
      <c r="AY60" s="828"/>
      <c r="AZ60" s="828"/>
      <c r="BA60" s="828"/>
      <c r="BB60" s="828"/>
      <c r="BC60" s="828"/>
      <c r="BD60" s="828"/>
      <c r="BE60" s="828"/>
      <c r="BF60" s="828"/>
      <c r="BG60" s="828"/>
      <c r="BH60" s="829"/>
      <c r="BI60" s="828"/>
      <c r="BJ60" s="828"/>
      <c r="BK60" s="828"/>
      <c r="BL60" s="828"/>
      <c r="BM60" s="828"/>
      <c r="BN60" s="828"/>
      <c r="BO60" s="828"/>
      <c r="BP60" s="828"/>
      <c r="BQ60" s="828"/>
      <c r="BR60" s="828"/>
      <c r="BS60" s="475"/>
    </row>
    <row r="61" spans="1:71" s="224" customFormat="1" ht="15" hidden="1" outlineLevel="1">
      <c r="A61" s="416" t="s">
        <v>378</v>
      </c>
      <c r="B61" s="389"/>
      <c r="C61" s="971"/>
      <c r="D61" s="971"/>
      <c r="E61" s="971"/>
      <c r="F61" s="971"/>
      <c r="G61" s="971"/>
      <c r="H61" s="176"/>
      <c r="I61" s="176"/>
      <c r="J61" s="176"/>
      <c r="K61" s="176"/>
      <c r="L61" s="971"/>
      <c r="M61" s="176"/>
      <c r="N61" s="176"/>
      <c r="O61" s="176"/>
      <c r="P61" s="176"/>
      <c r="Q61" s="971"/>
      <c r="R61" s="176"/>
      <c r="S61" s="176"/>
      <c r="T61" s="176"/>
      <c r="U61" s="176"/>
      <c r="V61" s="970">
        <f t="shared" si="177" ref="V61:AM61">V104</f>
        <v>97096</v>
      </c>
      <c r="W61" s="229">
        <f t="shared" si="177"/>
        <v>101474</v>
      </c>
      <c r="X61" s="229">
        <f t="shared" si="177"/>
        <v>102377</v>
      </c>
      <c r="Y61" s="229">
        <f t="shared" si="177"/>
        <v>102103</v>
      </c>
      <c r="Z61" s="229">
        <f t="shared" si="177"/>
        <v>104269</v>
      </c>
      <c r="AA61" s="970">
        <f t="shared" si="177"/>
        <v>104269</v>
      </c>
      <c r="AB61" s="229">
        <f t="shared" si="177"/>
        <v>113132</v>
      </c>
      <c r="AC61" s="229">
        <f t="shared" si="177"/>
        <v>108666</v>
      </c>
      <c r="AD61" s="229">
        <f t="shared" si="177"/>
        <v>105241</v>
      </c>
      <c r="AE61" s="229">
        <f t="shared" si="177"/>
        <v>106613</v>
      </c>
      <c r="AF61" s="970">
        <f t="shared" si="177"/>
        <v>106613</v>
      </c>
      <c r="AG61" s="229">
        <f t="shared" si="177"/>
        <v>111306</v>
      </c>
      <c r="AH61" s="229">
        <f t="shared" si="177"/>
        <v>116282</v>
      </c>
      <c r="AI61" s="229">
        <f t="shared" si="177"/>
        <v>117324</v>
      </c>
      <c r="AJ61" s="229">
        <f t="shared" si="177"/>
        <v>115594</v>
      </c>
      <c r="AK61" s="970">
        <f t="shared" si="177"/>
        <v>115594</v>
      </c>
      <c r="AL61" s="229">
        <f t="shared" si="177"/>
        <v>115195</v>
      </c>
      <c r="AM61" s="229">
        <f t="shared" si="177"/>
        <v>118063</v>
      </c>
      <c r="AN61" s="229">
        <f t="shared" si="178" ref="AN61:AQ61">AN104</f>
        <v>121562</v>
      </c>
      <c r="AO61" s="229">
        <f t="shared" si="178"/>
        <v>124378</v>
      </c>
      <c r="AP61" s="970">
        <f t="shared" si="178"/>
        <v>124378</v>
      </c>
      <c r="AQ61" s="229">
        <f t="shared" si="178"/>
        <v>118685</v>
      </c>
      <c r="AR61" s="229">
        <f t="shared" si="179" ref="AR61:AW61">AR104</f>
        <v>120345</v>
      </c>
      <c r="AS61" s="229">
        <f t="shared" si="179"/>
        <v>118861</v>
      </c>
      <c r="AT61" s="229">
        <f t="shared" si="179"/>
        <v>116587</v>
      </c>
      <c r="AU61" s="970">
        <f t="shared" si="179"/>
        <v>116587</v>
      </c>
      <c r="AV61" s="229">
        <f t="shared" si="179"/>
        <v>108022</v>
      </c>
      <c r="AW61" s="229">
        <f t="shared" si="179"/>
        <v>97157</v>
      </c>
      <c r="AX61" s="176">
        <f t="shared" si="180" ref="AX61:BJ61">AX104</f>
        <v>91519</v>
      </c>
      <c r="AY61" s="176">
        <f>AY104</f>
        <v>94689</v>
      </c>
      <c r="AZ61" s="971">
        <f t="shared" si="180"/>
        <v>94689</v>
      </c>
      <c r="BA61" s="229">
        <f>BA104</f>
        <v>95661</v>
      </c>
      <c r="BB61" s="229">
        <f t="shared" si="181" ref="BB61">BB104</f>
        <v>91215</v>
      </c>
      <c r="BC61" s="176">
        <f t="shared" si="182" ref="BC61:BI61">BC104</f>
        <v>85948</v>
      </c>
      <c r="BD61" s="229">
        <f t="shared" si="182"/>
        <v>86745</v>
      </c>
      <c r="BE61" s="970">
        <f t="shared" si="182"/>
        <v>86745</v>
      </c>
      <c r="BF61" s="229">
        <f t="shared" si="183" ref="BF61">BF104</f>
        <v>84347</v>
      </c>
      <c r="BG61" s="229">
        <f>BG104</f>
        <v>79463</v>
      </c>
      <c r="BH61" s="551">
        <f>BH104</f>
        <v>86708</v>
      </c>
      <c r="BI61" s="176">
        <f t="shared" si="182"/>
        <v>88479.900000000009</v>
      </c>
      <c r="BJ61" s="971">
        <f t="shared" si="180"/>
        <v>88479.900000000009</v>
      </c>
      <c r="BK61" s="176">
        <f t="shared" si="184" ref="BK61:BR61">BK104</f>
        <v>86033.940000000002</v>
      </c>
      <c r="BL61" s="176">
        <f t="shared" si="184"/>
        <v>81052.259999999995</v>
      </c>
      <c r="BM61" s="176">
        <f t="shared" si="184"/>
        <v>88442.160000000003</v>
      </c>
      <c r="BN61" s="176">
        <f t="shared" si="184"/>
        <v>90249.498000000007</v>
      </c>
      <c r="BO61" s="971">
        <f t="shared" si="184"/>
        <v>90249.498000000007</v>
      </c>
      <c r="BP61" s="971">
        <f t="shared" si="184"/>
        <v>91151.99298000001</v>
      </c>
      <c r="BQ61" s="971">
        <f t="shared" si="184"/>
        <v>92063.512909800018</v>
      </c>
      <c r="BR61" s="971">
        <f t="shared" si="184"/>
        <v>92984.148038898013</v>
      </c>
      <c r="BS61" s="229"/>
    </row>
    <row r="62" spans="1:71" s="224" customFormat="1" ht="15" hidden="1" outlineLevel="1">
      <c r="A62" s="416" t="s">
        <v>385</v>
      </c>
      <c r="B62" s="389"/>
      <c r="C62" s="971"/>
      <c r="D62" s="971"/>
      <c r="E62" s="971"/>
      <c r="F62" s="971"/>
      <c r="G62" s="971"/>
      <c r="H62" s="176"/>
      <c r="I62" s="176"/>
      <c r="J62" s="176"/>
      <c r="K62" s="176"/>
      <c r="L62" s="971"/>
      <c r="M62" s="176"/>
      <c r="N62" s="176"/>
      <c r="O62" s="176"/>
      <c r="P62" s="176"/>
      <c r="Q62" s="971"/>
      <c r="R62" s="176"/>
      <c r="S62" s="176"/>
      <c r="T62" s="176"/>
      <c r="U62" s="176"/>
      <c r="V62" s="970">
        <f t="shared" si="185" ref="V62:AM62">V132</f>
        <v>13795</v>
      </c>
      <c r="W62" s="229">
        <f t="shared" si="185"/>
        <v>14174</v>
      </c>
      <c r="X62" s="229">
        <f t="shared" si="185"/>
        <v>14534</v>
      </c>
      <c r="Y62" s="229">
        <f t="shared" si="185"/>
        <v>14715</v>
      </c>
      <c r="Z62" s="229">
        <f t="shared" si="185"/>
        <v>14463</v>
      </c>
      <c r="AA62" s="970">
        <f t="shared" si="185"/>
        <v>14463</v>
      </c>
      <c r="AB62" s="229">
        <f t="shared" si="185"/>
        <v>14022</v>
      </c>
      <c r="AC62" s="229">
        <f t="shared" si="185"/>
        <v>13950</v>
      </c>
      <c r="AD62" s="229">
        <f t="shared" si="185"/>
        <v>14119</v>
      </c>
      <c r="AE62" s="229">
        <f t="shared" si="185"/>
        <v>13877</v>
      </c>
      <c r="AF62" s="970">
        <f t="shared" si="185"/>
        <v>13877</v>
      </c>
      <c r="AG62" s="229">
        <f t="shared" si="185"/>
        <v>14782</v>
      </c>
      <c r="AH62" s="229">
        <f t="shared" si="185"/>
        <v>15753</v>
      </c>
      <c r="AI62" s="229">
        <f t="shared" si="185"/>
        <v>16112</v>
      </c>
      <c r="AJ62" s="229">
        <f t="shared" si="185"/>
        <v>15726</v>
      </c>
      <c r="AK62" s="970">
        <f t="shared" si="185"/>
        <v>15726</v>
      </c>
      <c r="AL62" s="229">
        <f t="shared" si="185"/>
        <v>15362</v>
      </c>
      <c r="AM62" s="229">
        <f t="shared" si="185"/>
        <v>16123</v>
      </c>
      <c r="AN62" s="229">
        <f t="shared" si="186" ref="AN62:AQ62">AN132</f>
        <v>16597</v>
      </c>
      <c r="AO62" s="229">
        <f t="shared" si="186"/>
        <v>17166</v>
      </c>
      <c r="AP62" s="970">
        <f t="shared" si="186"/>
        <v>17166</v>
      </c>
      <c r="AQ62" s="229">
        <f t="shared" si="186"/>
        <v>16515</v>
      </c>
      <c r="AR62" s="229">
        <f t="shared" si="187" ref="AR62:AW62">AR132</f>
        <v>17369</v>
      </c>
      <c r="AS62" s="229">
        <f t="shared" si="187"/>
        <v>17440</v>
      </c>
      <c r="AT62" s="229">
        <f t="shared" si="187"/>
        <v>17642</v>
      </c>
      <c r="AU62" s="970">
        <f t="shared" si="187"/>
        <v>17642</v>
      </c>
      <c r="AV62" s="229">
        <f t="shared" si="187"/>
        <v>16622</v>
      </c>
      <c r="AW62" s="229">
        <f t="shared" si="187"/>
        <v>15517</v>
      </c>
      <c r="AX62" s="176">
        <f t="shared" si="188" ref="AX62:BJ62">AX132</f>
        <v>14769</v>
      </c>
      <c r="AY62" s="176">
        <f>AY132</f>
        <v>15267</v>
      </c>
      <c r="AZ62" s="971">
        <f t="shared" si="188"/>
        <v>15267</v>
      </c>
      <c r="BA62" s="229">
        <f>BA132</f>
        <v>15527</v>
      </c>
      <c r="BB62" s="229">
        <f t="shared" si="189" ref="BB62">BB132</f>
        <v>15266</v>
      </c>
      <c r="BC62" s="176">
        <f t="shared" si="190" ref="BC62:BI62">BC132</f>
        <v>14846</v>
      </c>
      <c r="BD62" s="229">
        <f t="shared" si="190"/>
        <v>16067</v>
      </c>
      <c r="BE62" s="970">
        <f t="shared" si="190"/>
        <v>16067</v>
      </c>
      <c r="BF62" s="229">
        <f t="shared" si="191" ref="BF62">BF132</f>
        <v>16064</v>
      </c>
      <c r="BG62" s="229">
        <f>BG132</f>
        <v>15984</v>
      </c>
      <c r="BH62" s="551">
        <f>BH132</f>
        <v>16571</v>
      </c>
      <c r="BI62" s="176">
        <f t="shared" si="190"/>
        <v>16870.350000000002</v>
      </c>
      <c r="BJ62" s="971">
        <f t="shared" si="188"/>
        <v>16870.350000000002</v>
      </c>
      <c r="BK62" s="176">
        <f t="shared" si="192" ref="BK62:BR62">BK132</f>
        <v>16867.20</v>
      </c>
      <c r="BL62" s="176">
        <f t="shared" si="192"/>
        <v>16783.20</v>
      </c>
      <c r="BM62" s="176">
        <f t="shared" si="192"/>
        <v>17399.549999999999</v>
      </c>
      <c r="BN62" s="176">
        <f t="shared" si="192"/>
        <v>17713.867500000004</v>
      </c>
      <c r="BO62" s="971">
        <f t="shared" si="192"/>
        <v>17713.867500000004</v>
      </c>
      <c r="BP62" s="971">
        <f t="shared" si="192"/>
        <v>18599.560875000006</v>
      </c>
      <c r="BQ62" s="971">
        <f t="shared" si="192"/>
        <v>19529.538918750008</v>
      </c>
      <c r="BR62" s="971">
        <f t="shared" si="192"/>
        <v>20506.01586468751</v>
      </c>
      <c r="BS62" s="229"/>
    </row>
    <row r="63" spans="1:71" s="224" customFormat="1" ht="15" hidden="1" outlineLevel="1">
      <c r="A63" s="107" t="s">
        <v>389</v>
      </c>
      <c r="B63" s="486"/>
      <c r="C63" s="973"/>
      <c r="D63" s="973"/>
      <c r="E63" s="973"/>
      <c r="F63" s="973"/>
      <c r="G63" s="973"/>
      <c r="H63" s="177"/>
      <c r="I63" s="177"/>
      <c r="J63" s="177"/>
      <c r="K63" s="177"/>
      <c r="L63" s="973"/>
      <c r="M63" s="177"/>
      <c r="N63" s="177"/>
      <c r="O63" s="177"/>
      <c r="P63" s="177"/>
      <c r="Q63" s="973"/>
      <c r="R63" s="177"/>
      <c r="S63" s="177"/>
      <c r="T63" s="177"/>
      <c r="U63" s="177"/>
      <c r="V63" s="972">
        <f t="shared" si="193" ref="V63:AN63">V64-V61-V62</f>
        <v>611</v>
      </c>
      <c r="W63" s="310">
        <f t="shared" si="193"/>
        <v>650</v>
      </c>
      <c r="X63" s="310">
        <f t="shared" si="193"/>
        <v>721</v>
      </c>
      <c r="Y63" s="310">
        <f t="shared" si="193"/>
        <v>744</v>
      </c>
      <c r="Z63" s="310">
        <f t="shared" si="193"/>
        <v>1436</v>
      </c>
      <c r="AA63" s="972">
        <f t="shared" si="193"/>
        <v>1436</v>
      </c>
      <c r="AB63" s="310">
        <f t="shared" si="193"/>
        <v>1437</v>
      </c>
      <c r="AC63" s="310">
        <f t="shared" si="193"/>
        <v>1458</v>
      </c>
      <c r="AD63" s="310">
        <f t="shared" si="193"/>
        <v>1425</v>
      </c>
      <c r="AE63" s="310">
        <f t="shared" si="193"/>
        <v>1416</v>
      </c>
      <c r="AF63" s="972">
        <f t="shared" si="193"/>
        <v>1416</v>
      </c>
      <c r="AG63" s="310">
        <f t="shared" si="193"/>
        <v>1458</v>
      </c>
      <c r="AH63" s="310">
        <f t="shared" si="193"/>
        <v>1543</v>
      </c>
      <c r="AI63" s="310">
        <f t="shared" si="193"/>
        <v>1858</v>
      </c>
      <c r="AJ63" s="310">
        <f t="shared" si="193"/>
        <v>1875</v>
      </c>
      <c r="AK63" s="972">
        <f t="shared" si="193"/>
        <v>1875</v>
      </c>
      <c r="AL63" s="310">
        <f t="shared" si="193"/>
        <v>2262</v>
      </c>
      <c r="AM63" s="310">
        <f t="shared" si="193"/>
        <v>2519</v>
      </c>
      <c r="AN63" s="310">
        <f t="shared" si="193"/>
        <v>2407</v>
      </c>
      <c r="AO63" s="310">
        <f t="shared" si="194" ref="AO63:AQ63">AO64-AO61-AO62</f>
        <v>3068</v>
      </c>
      <c r="AP63" s="972">
        <f t="shared" si="194"/>
        <v>3068</v>
      </c>
      <c r="AQ63" s="310">
        <f t="shared" si="194"/>
        <v>3099</v>
      </c>
      <c r="AR63" s="310">
        <f t="shared" si="195" ref="AR63:AW63">AR64-AR61-AR62</f>
        <v>3526</v>
      </c>
      <c r="AS63" s="310">
        <f t="shared" si="195"/>
        <v>3495</v>
      </c>
      <c r="AT63" s="310">
        <f t="shared" si="195"/>
        <v>3698</v>
      </c>
      <c r="AU63" s="972">
        <f t="shared" si="195"/>
        <v>3698</v>
      </c>
      <c r="AV63" s="310">
        <f t="shared" si="195"/>
        <v>3680</v>
      </c>
      <c r="AW63" s="310">
        <f t="shared" si="195"/>
        <v>3568</v>
      </c>
      <c r="AX63" s="177">
        <f t="shared" si="196" ref="AX63:BE63">AX64-AX61-AX62</f>
        <v>3530</v>
      </c>
      <c r="AY63" s="177">
        <f t="shared" si="196"/>
        <v>3498</v>
      </c>
      <c r="AZ63" s="973">
        <f t="shared" si="196"/>
        <v>3498</v>
      </c>
      <c r="BA63" s="310">
        <f t="shared" si="196"/>
        <v>5503</v>
      </c>
      <c r="BB63" s="310">
        <f t="shared" si="196"/>
        <v>5262</v>
      </c>
      <c r="BC63" s="177">
        <f t="shared" si="196"/>
        <v>5010</v>
      </c>
      <c r="BD63" s="310">
        <f t="shared" si="196"/>
        <v>6442</v>
      </c>
      <c r="BE63" s="972">
        <f t="shared" si="196"/>
        <v>6442</v>
      </c>
      <c r="BF63" s="310">
        <f t="shared" si="197" ref="BF63">BF64-BF61-BF62</f>
        <v>6207</v>
      </c>
      <c r="BG63" s="310">
        <f>BG64-BG61-BG62</f>
        <v>6122</v>
      </c>
      <c r="BH63" s="638">
        <f>BH64-BH61-BH62</f>
        <v>6710</v>
      </c>
      <c r="BI63" s="177">
        <f>BH63</f>
        <v>6710</v>
      </c>
      <c r="BJ63" s="973">
        <f t="shared" si="198" ref="BJ63">BI63</f>
        <v>6710</v>
      </c>
      <c r="BK63" s="177">
        <f t="shared" si="199" ref="BK63:BR63">BJ63</f>
        <v>6710</v>
      </c>
      <c r="BL63" s="177">
        <f t="shared" si="199"/>
        <v>6710</v>
      </c>
      <c r="BM63" s="177">
        <f t="shared" si="199"/>
        <v>6710</v>
      </c>
      <c r="BN63" s="177">
        <f t="shared" si="199"/>
        <v>6710</v>
      </c>
      <c r="BO63" s="973">
        <f t="shared" si="199"/>
        <v>6710</v>
      </c>
      <c r="BP63" s="973">
        <f t="shared" si="199"/>
        <v>6710</v>
      </c>
      <c r="BQ63" s="973">
        <f t="shared" si="199"/>
        <v>6710</v>
      </c>
      <c r="BR63" s="973">
        <f t="shared" si="199"/>
        <v>6710</v>
      </c>
      <c r="BS63" s="229"/>
    </row>
    <row r="64" spans="1:71" s="44" customFormat="1" ht="15" hidden="1" outlineLevel="1">
      <c r="A64" s="108" t="s">
        <v>401</v>
      </c>
      <c r="B64" s="397"/>
      <c r="C64" s="977">
        <f t="shared" si="200" ref="C64:AM64">+C424-C423</f>
        <v>70869</v>
      </c>
      <c r="D64" s="977">
        <f t="shared" si="200"/>
        <v>86109</v>
      </c>
      <c r="E64" s="977">
        <f t="shared" si="200"/>
        <v>101213</v>
      </c>
      <c r="F64" s="978">
        <f t="shared" si="200"/>
        <v>116178</v>
      </c>
      <c r="G64" s="977">
        <f t="shared" si="200"/>
        <v>105916</v>
      </c>
      <c r="H64" s="100">
        <f t="shared" si="200"/>
        <v>108499</v>
      </c>
      <c r="I64" s="100">
        <f t="shared" si="200"/>
        <v>112482</v>
      </c>
      <c r="J64" s="100">
        <f t="shared" si="200"/>
        <v>112025</v>
      </c>
      <c r="K64" s="100">
        <f t="shared" si="200"/>
        <v>102683</v>
      </c>
      <c r="L64" s="977">
        <f t="shared" si="200"/>
        <v>102683</v>
      </c>
      <c r="M64" s="100">
        <f t="shared" si="200"/>
        <v>104348</v>
      </c>
      <c r="N64" s="100">
        <f t="shared" si="200"/>
        <v>100177</v>
      </c>
      <c r="O64" s="100">
        <f t="shared" si="200"/>
        <v>101380</v>
      </c>
      <c r="P64" s="100">
        <f t="shared" si="200"/>
        <v>101547</v>
      </c>
      <c r="Q64" s="977">
        <f t="shared" si="200"/>
        <v>101547</v>
      </c>
      <c r="R64" s="100">
        <f t="shared" si="200"/>
        <v>110871</v>
      </c>
      <c r="S64" s="100">
        <f t="shared" si="200"/>
        <v>122283</v>
      </c>
      <c r="T64" s="100">
        <f t="shared" si="200"/>
        <v>123665</v>
      </c>
      <c r="U64" s="100">
        <f t="shared" si="200"/>
        <v>111502</v>
      </c>
      <c r="V64" s="977">
        <f t="shared" si="200"/>
        <v>111502</v>
      </c>
      <c r="W64" s="100">
        <f t="shared" si="200"/>
        <v>116298</v>
      </c>
      <c r="X64" s="100">
        <f t="shared" si="200"/>
        <v>117632</v>
      </c>
      <c r="Y64" s="100">
        <f t="shared" si="200"/>
        <v>117562</v>
      </c>
      <c r="Z64" s="100">
        <f t="shared" si="200"/>
        <v>120168</v>
      </c>
      <c r="AA64" s="977">
        <f t="shared" si="200"/>
        <v>120168</v>
      </c>
      <c r="AB64" s="100">
        <f t="shared" si="200"/>
        <v>128591</v>
      </c>
      <c r="AC64" s="100">
        <f t="shared" si="200"/>
        <v>124074</v>
      </c>
      <c r="AD64" s="100">
        <f t="shared" si="200"/>
        <v>120785</v>
      </c>
      <c r="AE64" s="100">
        <f t="shared" si="200"/>
        <v>121906</v>
      </c>
      <c r="AF64" s="977">
        <f t="shared" si="200"/>
        <v>121906</v>
      </c>
      <c r="AG64" s="100">
        <f t="shared" si="200"/>
        <v>127546</v>
      </c>
      <c r="AH64" s="100">
        <f t="shared" si="200"/>
        <v>133578</v>
      </c>
      <c r="AI64" s="100">
        <f t="shared" si="200"/>
        <v>135294</v>
      </c>
      <c r="AJ64" s="100">
        <f t="shared" si="200"/>
        <v>133195</v>
      </c>
      <c r="AK64" s="977">
        <f t="shared" si="200"/>
        <v>133195</v>
      </c>
      <c r="AL64" s="100">
        <f t="shared" si="200"/>
        <v>132819</v>
      </c>
      <c r="AM64" s="100">
        <f t="shared" si="200"/>
        <v>136705</v>
      </c>
      <c r="AN64" s="100">
        <f t="shared" si="201" ref="AN64:AQ64">+AN424-AN423</f>
        <v>140566</v>
      </c>
      <c r="AO64" s="100">
        <f t="shared" si="201"/>
        <v>144612</v>
      </c>
      <c r="AP64" s="977">
        <f t="shared" si="201"/>
        <v>144612</v>
      </c>
      <c r="AQ64" s="100">
        <f t="shared" si="201"/>
        <v>138299</v>
      </c>
      <c r="AR64" s="100">
        <f t="shared" si="202" ref="AR64:AW64">+AR424-AR423</f>
        <v>141240</v>
      </c>
      <c r="AS64" s="100">
        <f t="shared" si="202"/>
        <v>139796</v>
      </c>
      <c r="AT64" s="100">
        <f t="shared" si="202"/>
        <v>137927</v>
      </c>
      <c r="AU64" s="977">
        <f t="shared" si="202"/>
        <v>137927</v>
      </c>
      <c r="AV64" s="100">
        <f t="shared" si="202"/>
        <v>128324</v>
      </c>
      <c r="AW64" s="100">
        <f t="shared" si="202"/>
        <v>116242</v>
      </c>
      <c r="AX64" s="185">
        <f t="shared" si="203" ref="AX64:BC64">+AX424-AX423</f>
        <v>109818</v>
      </c>
      <c r="AY64" s="100">
        <f t="shared" si="203"/>
        <v>113454</v>
      </c>
      <c r="AZ64" s="977">
        <f t="shared" si="203"/>
        <v>113454</v>
      </c>
      <c r="BA64" s="100">
        <f t="shared" si="203"/>
        <v>116691</v>
      </c>
      <c r="BB64" s="100">
        <f t="shared" si="203"/>
        <v>111743</v>
      </c>
      <c r="BC64" s="185">
        <f t="shared" si="203"/>
        <v>105804</v>
      </c>
      <c r="BD64" s="100">
        <f>+BD424-BD423</f>
        <v>109254</v>
      </c>
      <c r="BE64" s="977">
        <f>+BE424-BE423</f>
        <v>109254</v>
      </c>
      <c r="BF64" s="100">
        <f>+BF424-BF423</f>
        <v>106618</v>
      </c>
      <c r="BG64" s="100">
        <f>+BG424-BG423</f>
        <v>101569</v>
      </c>
      <c r="BH64" s="552">
        <f>+BH424-BH423</f>
        <v>109989</v>
      </c>
      <c r="BI64" s="185">
        <f>SUM(BI61:BI63)</f>
        <v>112060.25000000001</v>
      </c>
      <c r="BJ64" s="978">
        <f t="shared" si="204" ref="BJ64">SUM(BJ61:BJ63)</f>
        <v>112060.25000000001</v>
      </c>
      <c r="BK64" s="185">
        <f t="shared" si="205" ref="BK64:BR64">SUM(BK61:BK63)</f>
        <v>109611.14</v>
      </c>
      <c r="BL64" s="185">
        <f t="shared" si="205"/>
        <v>104545.45999999999</v>
      </c>
      <c r="BM64" s="185">
        <f t="shared" si="205"/>
        <v>112551.71000000001</v>
      </c>
      <c r="BN64" s="185">
        <f t="shared" si="205"/>
        <v>114673.36550000001</v>
      </c>
      <c r="BO64" s="978">
        <f t="shared" si="205"/>
        <v>114673.36550000001</v>
      </c>
      <c r="BP64" s="978">
        <f t="shared" si="205"/>
        <v>116461.55385500002</v>
      </c>
      <c r="BQ64" s="978">
        <f t="shared" si="205"/>
        <v>118303.05182855003</v>
      </c>
      <c r="BR64" s="978">
        <f t="shared" si="205"/>
        <v>120200.16390358552</v>
      </c>
      <c r="BS64" s="100"/>
    </row>
    <row r="65" spans="1:71" s="46" customFormat="1" ht="15" hidden="1" outlineLevel="1">
      <c r="A65" s="88" t="s">
        <v>285</v>
      </c>
      <c r="B65" s="396"/>
      <c r="C65" s="980">
        <f t="shared" si="206" ref="C65:AN65">C64/C43</f>
        <v>1.0234529568921944</v>
      </c>
      <c r="D65" s="980">
        <f t="shared" si="206"/>
        <v>1.0443024158338994</v>
      </c>
      <c r="E65" s="980">
        <f t="shared" si="206"/>
        <v>1.0699840368737645</v>
      </c>
      <c r="F65" s="980">
        <f t="shared" si="206"/>
        <v>1.188886614817847</v>
      </c>
      <c r="G65" s="980">
        <f t="shared" si="206"/>
        <v>1.1847162255877945</v>
      </c>
      <c r="H65" s="93">
        <f t="shared" si="206"/>
        <v>1.1680374636667026</v>
      </c>
      <c r="I65" s="93">
        <f t="shared" si="206"/>
        <v>1.1787600603621731</v>
      </c>
      <c r="J65" s="93">
        <f t="shared" si="206"/>
        <v>1.2419623059866962</v>
      </c>
      <c r="K65" s="93">
        <f t="shared" si="206"/>
        <v>1.223392467801699</v>
      </c>
      <c r="L65" s="980">
        <f t="shared" si="206"/>
        <v>1.223392467801699</v>
      </c>
      <c r="M65" s="93">
        <f t="shared" si="206"/>
        <v>1.219531578701323</v>
      </c>
      <c r="N65" s="93">
        <f t="shared" si="206"/>
        <v>1.1843912935529255</v>
      </c>
      <c r="O65" s="93">
        <f t="shared" si="206"/>
        <v>1.1628147043642829</v>
      </c>
      <c r="P65" s="93">
        <f t="shared" si="206"/>
        <v>1.1588022503451976</v>
      </c>
      <c r="Q65" s="980">
        <f t="shared" si="206"/>
        <v>1.1588022503451976</v>
      </c>
      <c r="R65" s="93">
        <f t="shared" si="206"/>
        <v>1.1778748087710351</v>
      </c>
      <c r="S65" s="93">
        <f t="shared" si="206"/>
        <v>1.1864533405778821</v>
      </c>
      <c r="T65" s="93">
        <f t="shared" si="206"/>
        <v>1.1715582250179999</v>
      </c>
      <c r="U65" s="93">
        <f t="shared" si="206"/>
        <v>1.1896592194268398</v>
      </c>
      <c r="V65" s="980">
        <f t="shared" si="206"/>
        <v>1.1896592194268398</v>
      </c>
      <c r="W65" s="93">
        <f t="shared" si="206"/>
        <v>1.1912849299352619</v>
      </c>
      <c r="X65" s="93">
        <f t="shared" si="206"/>
        <v>1.1947429360742652</v>
      </c>
      <c r="Y65" s="93">
        <f t="shared" si="206"/>
        <v>1.1909474942510105</v>
      </c>
      <c r="Z65" s="93">
        <f t="shared" si="206"/>
        <v>1.2120185179581833</v>
      </c>
      <c r="AA65" s="980">
        <f t="shared" si="206"/>
        <v>1.2120185179581833</v>
      </c>
      <c r="AB65" s="93">
        <f t="shared" si="206"/>
        <v>1.2200400383305345</v>
      </c>
      <c r="AC65" s="93">
        <f t="shared" si="206"/>
        <v>1.2127260287361938</v>
      </c>
      <c r="AD65" s="93">
        <f t="shared" si="206"/>
        <v>1.2008371112701821</v>
      </c>
      <c r="AE65" s="93">
        <f t="shared" si="206"/>
        <v>1.1813970616738381</v>
      </c>
      <c r="AF65" s="980">
        <f t="shared" si="206"/>
        <v>1.1813970616738381</v>
      </c>
      <c r="AG65" s="93">
        <f t="shared" si="206"/>
        <v>1.2301890432098765</v>
      </c>
      <c r="AH65" s="93">
        <f t="shared" si="206"/>
        <v>1.2485208759779043</v>
      </c>
      <c r="AI65" s="93">
        <f t="shared" si="206"/>
        <v>1.2581977122663444</v>
      </c>
      <c r="AJ65" s="93">
        <f t="shared" si="206"/>
        <v>1.2500234622820354</v>
      </c>
      <c r="AK65" s="980">
        <f t="shared" si="206"/>
        <v>1.2500234622820354</v>
      </c>
      <c r="AL65" s="93">
        <f t="shared" si="206"/>
        <v>1.2349282207676286</v>
      </c>
      <c r="AM65" s="93">
        <f t="shared" si="206"/>
        <v>1.2529902935757953</v>
      </c>
      <c r="AN65" s="93">
        <f t="shared" si="206"/>
        <v>1.2596987104232571</v>
      </c>
      <c r="AO65" s="93">
        <f t="shared" si="207" ref="AO65:AQ65">AO64/AO43</f>
        <v>1.2641903646265877</v>
      </c>
      <c r="AP65" s="980">
        <f t="shared" si="207"/>
        <v>1.2641903646265877</v>
      </c>
      <c r="AQ65" s="93">
        <f t="shared" si="207"/>
        <v>1.2816736944534544</v>
      </c>
      <c r="AR65" s="93">
        <f t="shared" si="208" ref="AR65:AV65">AR64/AR43</f>
        <v>1.3043237352935744</v>
      </c>
      <c r="AS65" s="93">
        <f t="shared" si="208"/>
        <v>1.3011178019973382</v>
      </c>
      <c r="AT65" s="93">
        <f t="shared" si="208"/>
        <v>1.3126903456677326</v>
      </c>
      <c r="AU65" s="980">
        <f t="shared" si="208"/>
        <v>1.3126903456677326</v>
      </c>
      <c r="AV65" s="93">
        <f t="shared" si="208"/>
        <v>1.2878375801611754</v>
      </c>
      <c r="AW65" s="93">
        <f t="shared" si="209" ref="AW65:BJ65">AW64/AW43</f>
        <v>1.2827694277075194</v>
      </c>
      <c r="AX65" s="93">
        <f t="shared" si="209"/>
        <v>1.2689854402588399</v>
      </c>
      <c r="AY65" s="93">
        <f t="shared" si="209"/>
        <v>1.2165605095541401</v>
      </c>
      <c r="AZ65" s="980">
        <f t="shared" si="209"/>
        <v>1.2165605095541401</v>
      </c>
      <c r="BA65" s="93">
        <f t="shared" si="210" ref="BA65:BI65">BA64/BA43</f>
        <v>1.1676923538770976</v>
      </c>
      <c r="BB65" s="93">
        <f t="shared" si="210"/>
        <v>1.1912010830748239</v>
      </c>
      <c r="BC65" s="93">
        <f t="shared" si="210"/>
        <v>1.2298786441623657</v>
      </c>
      <c r="BD65" s="93">
        <f t="shared" si="210"/>
        <v>1.1927422788458388</v>
      </c>
      <c r="BE65" s="980">
        <f t="shared" si="210"/>
        <v>1.1927422788458388</v>
      </c>
      <c r="BF65" s="93">
        <f>BF64/BF43</f>
        <v>1.2489808350124174</v>
      </c>
      <c r="BG65" s="93">
        <f>BG64/BG43</f>
        <v>1.3130583170659187</v>
      </c>
      <c r="BH65" s="742">
        <f>BH64/BH43</f>
        <v>1.2562418621650639</v>
      </c>
      <c r="BI65" s="644">
        <f t="shared" si="210"/>
        <v>1.2696051966063238</v>
      </c>
      <c r="BJ65" s="979">
        <f t="shared" si="209"/>
        <v>1.2696051966063238</v>
      </c>
      <c r="BK65" s="644">
        <f t="shared" si="211" ref="BK65:BR65">BK64/BK43</f>
        <v>1.2379854274510458</v>
      </c>
      <c r="BL65" s="644">
        <f t="shared" si="211"/>
        <v>1.1770997992728012</v>
      </c>
      <c r="BM65" s="644">
        <f t="shared" si="211"/>
        <v>1.2627891313278621</v>
      </c>
      <c r="BN65" s="644">
        <f t="shared" si="211"/>
        <v>1.2814876444144139</v>
      </c>
      <c r="BO65" s="979">
        <f t="shared" si="211"/>
        <v>1.2814876444144139</v>
      </c>
      <c r="BP65" s="979">
        <f t="shared" si="211"/>
        <v>1.2838787789455957</v>
      </c>
      <c r="BQ65" s="979">
        <f t="shared" si="211"/>
        <v>1.2835868094698906</v>
      </c>
      <c r="BR65" s="979">
        <f t="shared" si="211"/>
        <v>1.2834956478249846</v>
      </c>
      <c r="BS65" s="93"/>
    </row>
    <row r="66" spans="1:71" s="44" customFormat="1" ht="15" hidden="1" outlineLevel="1">
      <c r="A66" s="108" t="s">
        <v>20</v>
      </c>
      <c r="B66" s="397"/>
      <c r="C66" s="978"/>
      <c r="D66" s="977">
        <f t="shared" si="212" ref="D66:K66">AVERAGE(C64,D64)</f>
        <v>78489</v>
      </c>
      <c r="E66" s="977">
        <f t="shared" si="212"/>
        <v>93661</v>
      </c>
      <c r="F66" s="977">
        <f t="shared" si="212"/>
        <v>108695.50</v>
      </c>
      <c r="G66" s="977">
        <f t="shared" si="212"/>
        <v>111047</v>
      </c>
      <c r="H66" s="100">
        <f t="shared" si="212"/>
        <v>107207.50</v>
      </c>
      <c r="I66" s="100">
        <f t="shared" si="212"/>
        <v>110490.50</v>
      </c>
      <c r="J66" s="100">
        <f t="shared" si="212"/>
        <v>112253.50</v>
      </c>
      <c r="K66" s="100">
        <f t="shared" si="212"/>
        <v>107354</v>
      </c>
      <c r="L66" s="977">
        <f>SUM(H66*H$3,I66*I$3,J66*J$3,K66*K$3)/L$3</f>
        <v>109334.79589041095</v>
      </c>
      <c r="M66" s="100">
        <f>AVERAGE(L64,M64)</f>
        <v>103515.50</v>
      </c>
      <c r="N66" s="100">
        <f>AVERAGE(M64,N64)</f>
        <v>102262.50</v>
      </c>
      <c r="O66" s="100">
        <f>AVERAGE(N64,O64)</f>
        <v>100778.50</v>
      </c>
      <c r="P66" s="100">
        <f>AVERAGE(O64,P64)</f>
        <v>101463.50</v>
      </c>
      <c r="Q66" s="977">
        <f>SUM(M66*M$3,N66*N$3,O66*O$3,P66*P$3)/Q$3</f>
        <v>101996.01780821919</v>
      </c>
      <c r="R66" s="100">
        <f>AVERAGE(Q64,R64)</f>
        <v>106209</v>
      </c>
      <c r="S66" s="100">
        <f>AVERAGE(R64,S64)</f>
        <v>116577</v>
      </c>
      <c r="T66" s="100">
        <f>AVERAGE(S64,T64)</f>
        <v>122974</v>
      </c>
      <c r="U66" s="100">
        <f>AVERAGE(T64,U64)</f>
        <v>117583.50</v>
      </c>
      <c r="V66" s="977">
        <f>SUM(R66*R$3,S66*S$3,T66*T$3,U66*U$3)/V$3</f>
        <v>115860.15300546448</v>
      </c>
      <c r="W66" s="100">
        <f>AVERAGE(V64,W64)</f>
        <v>113900</v>
      </c>
      <c r="X66" s="100">
        <f>AVERAGE(W64,X64)</f>
        <v>116965</v>
      </c>
      <c r="Y66" s="100">
        <f>AVERAGE(X64,Y64)</f>
        <v>117597</v>
      </c>
      <c r="Z66" s="100">
        <f>AVERAGE(Y64,Z64)</f>
        <v>118865</v>
      </c>
      <c r="AA66" s="977">
        <f>SUM(W66*W$3,X66*X$3,Y66*Y$3,Z66*Z$3)/AA$3</f>
        <v>116847.44931506849</v>
      </c>
      <c r="AB66" s="100">
        <f>AVERAGE(AA64,AB64)</f>
        <v>124379.50</v>
      </c>
      <c r="AC66" s="100">
        <f>AVERAGE(AB64,AC64)</f>
        <v>126332.50</v>
      </c>
      <c r="AD66" s="100">
        <f>AVERAGE(AC64,AD64)</f>
        <v>122429.50</v>
      </c>
      <c r="AE66" s="100">
        <f>AVERAGE(AD64,AE64)</f>
        <v>121345.50</v>
      </c>
      <c r="AF66" s="977">
        <f>SUM(AB66*AB$3,AC66*AC$3,AD66*AD$3,AE66*AE$3)/AF$3</f>
        <v>123610.17123287672</v>
      </c>
      <c r="AG66" s="100">
        <f>AVERAGE(AF64,AG64)</f>
        <v>124726</v>
      </c>
      <c r="AH66" s="100">
        <f>AVERAGE(AG64,AH64)</f>
        <v>130562</v>
      </c>
      <c r="AI66" s="100">
        <f>AVERAGE(AH64,AI64)</f>
        <v>134436</v>
      </c>
      <c r="AJ66" s="100">
        <f>AVERAGE(AI64,AJ64)</f>
        <v>134244.50</v>
      </c>
      <c r="AK66" s="977">
        <f>SUM(AG66*AG$3,AH66*AH$3,AI66*AI$3,AJ66*AJ$3)/AK$3</f>
        <v>131027.63835616439</v>
      </c>
      <c r="AL66" s="100">
        <f>AVERAGE(AK64,AL64)</f>
        <v>133007</v>
      </c>
      <c r="AM66" s="100">
        <f>AVERAGE(AL64,AM64)</f>
        <v>134762</v>
      </c>
      <c r="AN66" s="100">
        <f>AVERAGE(AM64,AN64)</f>
        <v>138635.50</v>
      </c>
      <c r="AO66" s="100">
        <f>AVERAGE(AN64,AO64)</f>
        <v>142589</v>
      </c>
      <c r="AP66" s="977">
        <f>SUM(AL66*AL$3,AM66*AM$3,AN66*AN$3,AO66*AO$3)/AP$3</f>
        <v>137266.75683060108</v>
      </c>
      <c r="AQ66" s="100">
        <f>AVERAGE(AP64,AQ64)</f>
        <v>141455.50</v>
      </c>
      <c r="AR66" s="100">
        <f>AVERAGE(AQ64,AR64)</f>
        <v>139769.50</v>
      </c>
      <c r="AS66" s="100">
        <f>AVERAGE(AR64,AS64)</f>
        <v>140518</v>
      </c>
      <c r="AT66" s="100">
        <f>AVERAGE(AS64,AT64)</f>
        <v>138861.50</v>
      </c>
      <c r="AU66" s="977">
        <f>SUM(AQ66*AQ$3,AR66*AR$3,AS66*AS$3,AT66*AT$3)/AU$3</f>
        <v>140145.02328767124</v>
      </c>
      <c r="AV66" s="100">
        <f>AVERAGE(AU64,AV64)</f>
        <v>133125.50</v>
      </c>
      <c r="AW66" s="100">
        <f>AVERAGE(AV64,AW64)</f>
        <v>122283</v>
      </c>
      <c r="AX66" s="100">
        <f>AVERAGE(AW64,AX64)</f>
        <v>113030</v>
      </c>
      <c r="AY66" s="100">
        <f>AVERAGE(AX64,AY64)</f>
        <v>111636</v>
      </c>
      <c r="AZ66" s="977">
        <f>SUM(AV66*AV$3,AW66*AW$3,AX66*AX$3,AY66*AY$3)/AZ$3</f>
        <v>119940.60273972603</v>
      </c>
      <c r="BA66" s="100">
        <f>AVERAGE(AZ64,BA64)</f>
        <v>115072.50</v>
      </c>
      <c r="BB66" s="100">
        <f>AVERAGE(BA64,BB64)</f>
        <v>114217</v>
      </c>
      <c r="BC66" s="100">
        <f>AVERAGE(BB64,BC64)</f>
        <v>108773.50</v>
      </c>
      <c r="BD66" s="100">
        <f>AVERAGE(BC64,BD64)</f>
        <v>107529</v>
      </c>
      <c r="BE66" s="977">
        <f>SUM(BA66*BA$3,BB66*BB$3,BC66*BC$3,BD66*BD$3)/BE$3</f>
        <v>111370.14246575342</v>
      </c>
      <c r="BF66" s="100">
        <f>AVERAGE(BE64,BF64)</f>
        <v>107936</v>
      </c>
      <c r="BG66" s="100">
        <f>AVERAGE(BF64,BG64)</f>
        <v>104093.50</v>
      </c>
      <c r="BH66" s="741">
        <f>AVERAGE(BG64,BH64)</f>
        <v>105779</v>
      </c>
      <c r="BI66" s="185">
        <f>AVERAGE(BH64,BI64)</f>
        <v>111024.625</v>
      </c>
      <c r="BJ66" s="978">
        <f>SUM(BF66*BF$3,BG66*BG$3,BH66*BH$3,BI66*BI$3)/BJ$3</f>
        <v>107214.80327868853</v>
      </c>
      <c r="BK66" s="185">
        <f>AVERAGE(BJ64,BK64)</f>
        <v>110835.69500000001</v>
      </c>
      <c r="BL66" s="185">
        <f>AVERAGE(BK64,BL64)</f>
        <v>107078.29999999999</v>
      </c>
      <c r="BM66" s="185">
        <f>AVERAGE(BL64,BM64)</f>
        <v>108548.58499999999</v>
      </c>
      <c r="BN66" s="185">
        <f>AVERAGE(BM64,BN64)</f>
        <v>113612.53775000002</v>
      </c>
      <c r="BO66" s="978">
        <f>SUM(BK66*BK$3,BL66*BL$3,BM66*BM$3,BN66*BN$3)/BO$3</f>
        <v>110022.35929589043</v>
      </c>
      <c r="BP66" s="978">
        <f>AVERAGE(BO64,BP64)</f>
        <v>115567.45967750001</v>
      </c>
      <c r="BQ66" s="978">
        <f>AVERAGE(BP64,BQ64)</f>
        <v>117382.30284177503</v>
      </c>
      <c r="BR66" s="978">
        <f>AVERAGE(BQ64,BR64)</f>
        <v>119251.60786606777</v>
      </c>
      <c r="BS66" s="100"/>
    </row>
    <row r="67" spans="1:71" s="42" customFormat="1" ht="15" hidden="1" outlineLevel="1">
      <c r="A67" s="398"/>
      <c r="B67" s="393"/>
      <c r="C67" s="964"/>
      <c r="D67" s="964"/>
      <c r="E67" s="964"/>
      <c r="F67" s="964"/>
      <c r="G67" s="964"/>
      <c r="H67" s="395"/>
      <c r="I67" s="395"/>
      <c r="J67" s="395"/>
      <c r="K67" s="395"/>
      <c r="L67" s="964"/>
      <c r="M67" s="395"/>
      <c r="N67" s="395"/>
      <c r="O67" s="395"/>
      <c r="P67" s="395"/>
      <c r="Q67" s="964"/>
      <c r="R67" s="395"/>
      <c r="S67" s="395"/>
      <c r="T67" s="395"/>
      <c r="U67" s="395"/>
      <c r="V67" s="964"/>
      <c r="W67" s="395"/>
      <c r="X67" s="395"/>
      <c r="Y67" s="395"/>
      <c r="Z67" s="395"/>
      <c r="AA67" s="964"/>
      <c r="AB67" s="395"/>
      <c r="AC67" s="395"/>
      <c r="AD67" s="395"/>
      <c r="AE67" s="395"/>
      <c r="AF67" s="964"/>
      <c r="AG67" s="395"/>
      <c r="AH67" s="395"/>
      <c r="AI67" s="395"/>
      <c r="AJ67" s="395"/>
      <c r="AK67" s="964"/>
      <c r="AL67" s="395"/>
      <c r="AM67" s="395"/>
      <c r="AN67" s="395"/>
      <c r="AO67" s="395"/>
      <c r="AP67" s="964"/>
      <c r="AQ67" s="395"/>
      <c r="AR67" s="395"/>
      <c r="AS67" s="395"/>
      <c r="AT67" s="395"/>
      <c r="AU67" s="964"/>
      <c r="AV67" s="395"/>
      <c r="AW67" s="395"/>
      <c r="AX67" s="395"/>
      <c r="AY67" s="395"/>
      <c r="AZ67" s="964"/>
      <c r="BA67" s="395"/>
      <c r="BB67" s="395"/>
      <c r="BC67" s="395"/>
      <c r="BD67" s="395"/>
      <c r="BE67" s="964"/>
      <c r="BF67" s="395"/>
      <c r="BG67" s="395"/>
      <c r="BH67" s="737"/>
      <c r="BI67" s="395"/>
      <c r="BJ67" s="964"/>
      <c r="BK67" s="395"/>
      <c r="BL67" s="395"/>
      <c r="BM67" s="395"/>
      <c r="BN67" s="395"/>
      <c r="BO67" s="964"/>
      <c r="BP67" s="964"/>
      <c r="BQ67" s="964"/>
      <c r="BR67" s="964"/>
      <c r="BS67" s="91"/>
    </row>
    <row r="68" spans="1:71" s="224" customFormat="1" ht="15" hidden="1" outlineLevel="1">
      <c r="A68" s="362" t="s">
        <v>354</v>
      </c>
      <c r="B68" s="389"/>
      <c r="C68" s="970">
        <f t="shared" si="213" ref="C68:AM68">C82</f>
        <v>2265</v>
      </c>
      <c r="D68" s="970">
        <f t="shared" si="213"/>
        <v>2453</v>
      </c>
      <c r="E68" s="970">
        <f t="shared" si="213"/>
        <v>2688</v>
      </c>
      <c r="F68" s="970">
        <f t="shared" si="213"/>
        <v>2845</v>
      </c>
      <c r="G68" s="970">
        <f t="shared" si="213"/>
        <v>2651</v>
      </c>
      <c r="H68" s="229">
        <f t="shared" si="213"/>
        <v>663</v>
      </c>
      <c r="I68" s="229">
        <f t="shared" si="213"/>
        <v>680</v>
      </c>
      <c r="J68" s="229">
        <f t="shared" si="213"/>
        <v>676</v>
      </c>
      <c r="K68" s="229">
        <f t="shared" si="213"/>
        <v>643</v>
      </c>
      <c r="L68" s="970">
        <f t="shared" si="213"/>
        <v>2662</v>
      </c>
      <c r="M68" s="229">
        <f t="shared" si="213"/>
        <v>613</v>
      </c>
      <c r="N68" s="229">
        <f t="shared" si="213"/>
        <v>605</v>
      </c>
      <c r="O68" s="229">
        <f t="shared" si="213"/>
        <v>606</v>
      </c>
      <c r="P68" s="229">
        <f t="shared" si="213"/>
        <v>612</v>
      </c>
      <c r="Q68" s="970">
        <f t="shared" si="213"/>
        <v>2436</v>
      </c>
      <c r="R68" s="229">
        <f t="shared" si="213"/>
        <v>590</v>
      </c>
      <c r="S68" s="229">
        <f t="shared" si="213"/>
        <v>605</v>
      </c>
      <c r="T68" s="229">
        <f t="shared" si="213"/>
        <v>607</v>
      </c>
      <c r="U68" s="229">
        <f t="shared" si="213"/>
        <v>566</v>
      </c>
      <c r="V68" s="970">
        <f t="shared" si="213"/>
        <v>2368</v>
      </c>
      <c r="W68" s="229">
        <f t="shared" si="213"/>
        <v>557</v>
      </c>
      <c r="X68" s="229">
        <f t="shared" si="213"/>
        <v>557</v>
      </c>
      <c r="Y68" s="229">
        <f t="shared" si="213"/>
        <v>561</v>
      </c>
      <c r="Z68" s="229">
        <f t="shared" si="213"/>
        <v>560</v>
      </c>
      <c r="AA68" s="970">
        <f t="shared" si="213"/>
        <v>2235</v>
      </c>
      <c r="AB68" s="229">
        <f t="shared" si="213"/>
        <v>588</v>
      </c>
      <c r="AC68" s="229">
        <f t="shared" si="213"/>
        <v>606</v>
      </c>
      <c r="AD68" s="229">
        <f t="shared" si="213"/>
        <v>606</v>
      </c>
      <c r="AE68" s="229">
        <f t="shared" si="213"/>
        <v>603</v>
      </c>
      <c r="AF68" s="970">
        <f t="shared" si="213"/>
        <v>2403</v>
      </c>
      <c r="AG68" s="229">
        <f t="shared" si="213"/>
        <v>672</v>
      </c>
      <c r="AH68" s="229">
        <f t="shared" si="213"/>
        <v>609</v>
      </c>
      <c r="AI68" s="229">
        <f t="shared" si="213"/>
        <v>659</v>
      </c>
      <c r="AJ68" s="229">
        <f t="shared" si="213"/>
        <v>556</v>
      </c>
      <c r="AK68" s="970">
        <f t="shared" si="213"/>
        <v>2496</v>
      </c>
      <c r="AL68" s="229">
        <f t="shared" si="213"/>
        <v>642</v>
      </c>
      <c r="AM68" s="229">
        <f t="shared" si="213"/>
        <v>633</v>
      </c>
      <c r="AN68" s="229">
        <f t="shared" si="214" ref="AN68:AQ68">AN82</f>
        <v>663</v>
      </c>
      <c r="AO68" s="229">
        <f t="shared" si="214"/>
        <v>721</v>
      </c>
      <c r="AP68" s="970">
        <f t="shared" si="214"/>
        <v>2659</v>
      </c>
      <c r="AQ68" s="229">
        <f t="shared" si="214"/>
        <v>705</v>
      </c>
      <c r="AR68" s="229">
        <f t="shared" si="215" ref="AR68:AW68">AR82</f>
        <v>792</v>
      </c>
      <c r="AS68" s="229">
        <f t="shared" si="215"/>
        <v>763</v>
      </c>
      <c r="AT68" s="229">
        <f t="shared" si="215"/>
        <v>771</v>
      </c>
      <c r="AU68" s="970">
        <f t="shared" si="215"/>
        <v>3031</v>
      </c>
      <c r="AV68" s="229">
        <f t="shared" si="215"/>
        <v>680</v>
      </c>
      <c r="AW68" s="229">
        <f t="shared" si="215"/>
        <v>723</v>
      </c>
      <c r="AX68" s="229">
        <f t="shared" si="216" ref="AX68:BJ68">AX82</f>
        <v>663</v>
      </c>
      <c r="AY68" s="229">
        <f t="shared" si="216"/>
        <v>604</v>
      </c>
      <c r="AZ68" s="970">
        <f t="shared" si="216"/>
        <v>2669</v>
      </c>
      <c r="BA68" s="229">
        <f t="shared" si="217" ref="BA68:BI68">BA82</f>
        <v>611</v>
      </c>
      <c r="BB68" s="229">
        <f t="shared" si="217"/>
        <v>637</v>
      </c>
      <c r="BC68" s="229">
        <f t="shared" si="217"/>
        <v>679</v>
      </c>
      <c r="BD68" s="229">
        <f t="shared" si="217"/>
        <v>655</v>
      </c>
      <c r="BE68" s="970">
        <f t="shared" si="217"/>
        <v>2582</v>
      </c>
      <c r="BF68" s="229">
        <f>BF82</f>
        <v>648</v>
      </c>
      <c r="BG68" s="229">
        <f>BG82</f>
        <v>725</v>
      </c>
      <c r="BH68" s="738">
        <f>BH82</f>
        <v>662</v>
      </c>
      <c r="BI68" s="176">
        <f t="shared" si="217"/>
        <v>924.7623573770494</v>
      </c>
      <c r="BJ68" s="971">
        <f t="shared" si="216"/>
        <v>2959.7623573770493</v>
      </c>
      <c r="BK68" s="176">
        <f t="shared" si="218" ref="BK68:BR68">BK82</f>
        <v>516.36971835616453</v>
      </c>
      <c r="BL68" s="176">
        <f t="shared" si="218"/>
        <v>499.88528876712337</v>
      </c>
      <c r="BM68" s="176">
        <f t="shared" si="218"/>
        <v>512.66257446575344</v>
      </c>
      <c r="BN68" s="176">
        <f t="shared" si="218"/>
        <v>540.48106967671231</v>
      </c>
      <c r="BO68" s="971">
        <f t="shared" si="218"/>
        <v>2069.3986512657534</v>
      </c>
      <c r="BP68" s="971">
        <f t="shared" si="218"/>
        <v>2176.8178917599998</v>
      </c>
      <c r="BQ68" s="971">
        <f t="shared" si="218"/>
        <v>2198.5860706776002</v>
      </c>
      <c r="BR68" s="971">
        <f t="shared" si="218"/>
        <v>2220.5719313843761</v>
      </c>
      <c r="BS68" s="229"/>
    </row>
    <row r="69" spans="1:71" s="224" customFormat="1" ht="15" hidden="1" outlineLevel="1">
      <c r="A69" s="362" t="s">
        <v>339</v>
      </c>
      <c r="B69" s="389"/>
      <c r="C69" s="970">
        <f t="shared" si="219" ref="C69:AM69">C112</f>
        <v>499</v>
      </c>
      <c r="D69" s="970">
        <f t="shared" si="219"/>
        <v>549</v>
      </c>
      <c r="E69" s="970">
        <f t="shared" si="219"/>
        <v>588</v>
      </c>
      <c r="F69" s="970">
        <f t="shared" si="219"/>
        <v>613</v>
      </c>
      <c r="G69" s="970">
        <f t="shared" si="219"/>
        <v>632</v>
      </c>
      <c r="H69" s="229">
        <f t="shared" si="219"/>
        <v>161</v>
      </c>
      <c r="I69" s="229">
        <f t="shared" si="219"/>
        <v>161</v>
      </c>
      <c r="J69" s="229">
        <f t="shared" si="219"/>
        <v>162</v>
      </c>
      <c r="K69" s="229">
        <f t="shared" si="219"/>
        <v>161</v>
      </c>
      <c r="L69" s="970">
        <f t="shared" si="219"/>
        <v>645</v>
      </c>
      <c r="M69" s="229">
        <f t="shared" si="219"/>
        <v>166</v>
      </c>
      <c r="N69" s="229">
        <f t="shared" si="219"/>
        <v>168</v>
      </c>
      <c r="O69" s="229">
        <f t="shared" si="219"/>
        <v>173</v>
      </c>
      <c r="P69" s="229">
        <f t="shared" si="219"/>
        <v>171</v>
      </c>
      <c r="Q69" s="970">
        <f t="shared" si="219"/>
        <v>678</v>
      </c>
      <c r="R69" s="229">
        <f t="shared" si="219"/>
        <v>174</v>
      </c>
      <c r="S69" s="229">
        <f t="shared" si="219"/>
        <v>176</v>
      </c>
      <c r="T69" s="229">
        <f t="shared" si="219"/>
        <v>176</v>
      </c>
      <c r="U69" s="229">
        <f t="shared" si="219"/>
        <v>177</v>
      </c>
      <c r="V69" s="970">
        <f t="shared" si="219"/>
        <v>703</v>
      </c>
      <c r="W69" s="229">
        <f t="shared" si="219"/>
        <v>178</v>
      </c>
      <c r="X69" s="229">
        <f t="shared" si="219"/>
        <v>180</v>
      </c>
      <c r="Y69" s="229">
        <f t="shared" si="219"/>
        <v>181</v>
      </c>
      <c r="Z69" s="229">
        <f t="shared" si="219"/>
        <v>182</v>
      </c>
      <c r="AA69" s="970">
        <f t="shared" si="219"/>
        <v>721</v>
      </c>
      <c r="AB69" s="229">
        <f t="shared" si="219"/>
        <v>175</v>
      </c>
      <c r="AC69" s="229">
        <f t="shared" si="219"/>
        <v>182</v>
      </c>
      <c r="AD69" s="229">
        <f t="shared" si="219"/>
        <v>187</v>
      </c>
      <c r="AE69" s="229">
        <f t="shared" si="219"/>
        <v>183</v>
      </c>
      <c r="AF69" s="970">
        <f t="shared" si="219"/>
        <v>727</v>
      </c>
      <c r="AG69" s="229">
        <f t="shared" si="219"/>
        <v>177</v>
      </c>
      <c r="AH69" s="229">
        <f t="shared" si="219"/>
        <v>180</v>
      </c>
      <c r="AI69" s="229">
        <f t="shared" si="219"/>
        <v>183</v>
      </c>
      <c r="AJ69" s="229">
        <f t="shared" si="219"/>
        <v>180</v>
      </c>
      <c r="AK69" s="970">
        <f t="shared" si="219"/>
        <v>720</v>
      </c>
      <c r="AL69" s="229">
        <f t="shared" si="219"/>
        <v>177</v>
      </c>
      <c r="AM69" s="229">
        <f t="shared" si="219"/>
        <v>172</v>
      </c>
      <c r="AN69" s="229">
        <f t="shared" si="220" ref="AN69:AQ69">AN112</f>
        <v>175</v>
      </c>
      <c r="AO69" s="229">
        <f t="shared" si="220"/>
        <v>182</v>
      </c>
      <c r="AP69" s="970">
        <f t="shared" si="220"/>
        <v>705</v>
      </c>
      <c r="AQ69" s="229">
        <f t="shared" si="220"/>
        <v>176</v>
      </c>
      <c r="AR69" s="229">
        <f t="shared" si="221" ref="AR69:AW69">AR112</f>
        <v>189</v>
      </c>
      <c r="AS69" s="229">
        <f t="shared" si="221"/>
        <v>191</v>
      </c>
      <c r="AT69" s="229">
        <f t="shared" si="221"/>
        <v>197</v>
      </c>
      <c r="AU69" s="970">
        <f t="shared" si="221"/>
        <v>754</v>
      </c>
      <c r="AV69" s="229">
        <f t="shared" si="221"/>
        <v>184</v>
      </c>
      <c r="AW69" s="229">
        <f t="shared" si="221"/>
        <v>193</v>
      </c>
      <c r="AX69" s="229">
        <f t="shared" si="222" ref="AX69:BJ69">AX112</f>
        <v>185</v>
      </c>
      <c r="AY69" s="229">
        <f t="shared" si="222"/>
        <v>192</v>
      </c>
      <c r="AZ69" s="970">
        <f t="shared" si="222"/>
        <v>755</v>
      </c>
      <c r="BA69" s="229">
        <f t="shared" si="223" ref="BA69:BI69">BA112</f>
        <v>197</v>
      </c>
      <c r="BB69" s="229">
        <f t="shared" si="223"/>
        <v>203</v>
      </c>
      <c r="BC69" s="229">
        <f t="shared" si="223"/>
        <v>209</v>
      </c>
      <c r="BD69" s="229">
        <f t="shared" si="223"/>
        <v>211</v>
      </c>
      <c r="BE69" s="970">
        <f t="shared" si="223"/>
        <v>820</v>
      </c>
      <c r="BF69" s="229">
        <f>BF112</f>
        <v>206</v>
      </c>
      <c r="BG69" s="229">
        <f>BG112</f>
        <v>218</v>
      </c>
      <c r="BH69" s="738">
        <f>BH112</f>
        <v>210</v>
      </c>
      <c r="BI69" s="176">
        <f t="shared" si="223"/>
        <v>210.15056010928967</v>
      </c>
      <c r="BJ69" s="971">
        <f t="shared" si="222"/>
        <v>844.1505601092897</v>
      </c>
      <c r="BK69" s="176">
        <f t="shared" si="224" ref="BK69:BR69">BK112</f>
        <v>207.97119863013702</v>
      </c>
      <c r="BL69" s="176">
        <f t="shared" si="224"/>
        <v>209.73879452054797</v>
      </c>
      <c r="BM69" s="176">
        <f t="shared" si="224"/>
        <v>215.39815068493152</v>
      </c>
      <c r="BN69" s="176">
        <f t="shared" si="224"/>
        <v>221.26263082191784</v>
      </c>
      <c r="BO69" s="971">
        <f t="shared" si="224"/>
        <v>854.37077465753441</v>
      </c>
      <c r="BP69" s="971">
        <f t="shared" si="224"/>
        <v>771.66035296875043</v>
      </c>
      <c r="BQ69" s="971">
        <f t="shared" si="224"/>
        <v>810.24337061718802</v>
      </c>
      <c r="BR69" s="971">
        <f t="shared" si="224"/>
        <v>850.75553914804743</v>
      </c>
      <c r="BS69" s="229"/>
    </row>
    <row r="70" spans="1:71" s="224" customFormat="1" ht="15" hidden="1" outlineLevel="1">
      <c r="A70" s="364" t="s">
        <v>348</v>
      </c>
      <c r="B70" s="486"/>
      <c r="C70" s="972">
        <f t="shared" si="225" ref="C70:AM70">C140</f>
        <v>0</v>
      </c>
      <c r="D70" s="972">
        <f t="shared" si="225"/>
        <v>0</v>
      </c>
      <c r="E70" s="972">
        <f t="shared" si="225"/>
        <v>0</v>
      </c>
      <c r="F70" s="972">
        <f t="shared" si="225"/>
        <v>0</v>
      </c>
      <c r="G70" s="972">
        <f t="shared" si="225"/>
        <v>0</v>
      </c>
      <c r="H70" s="310">
        <f t="shared" si="225"/>
        <v>0</v>
      </c>
      <c r="I70" s="310">
        <f t="shared" si="225"/>
        <v>0</v>
      </c>
      <c r="J70" s="310">
        <f t="shared" si="225"/>
        <v>0</v>
      </c>
      <c r="K70" s="310">
        <f t="shared" si="225"/>
        <v>0</v>
      </c>
      <c r="L70" s="972">
        <f t="shared" si="225"/>
        <v>0</v>
      </c>
      <c r="M70" s="310">
        <f t="shared" si="225"/>
        <v>0</v>
      </c>
      <c r="N70" s="310">
        <f t="shared" si="225"/>
        <v>0</v>
      </c>
      <c r="O70" s="310">
        <f t="shared" si="225"/>
        <v>0</v>
      </c>
      <c r="P70" s="310">
        <f t="shared" si="225"/>
        <v>0</v>
      </c>
      <c r="Q70" s="972">
        <f t="shared" si="225"/>
        <v>21</v>
      </c>
      <c r="R70" s="310">
        <f t="shared" si="225"/>
        <v>0</v>
      </c>
      <c r="S70" s="310">
        <f t="shared" si="225"/>
        <v>0</v>
      </c>
      <c r="T70" s="310">
        <f t="shared" si="225"/>
        <v>0</v>
      </c>
      <c r="U70" s="310">
        <f t="shared" si="225"/>
        <v>0</v>
      </c>
      <c r="V70" s="972">
        <f t="shared" si="225"/>
        <v>20</v>
      </c>
      <c r="W70" s="310">
        <f t="shared" si="225"/>
        <v>7</v>
      </c>
      <c r="X70" s="310">
        <f t="shared" si="225"/>
        <v>8</v>
      </c>
      <c r="Y70" s="310">
        <f t="shared" si="225"/>
        <v>10</v>
      </c>
      <c r="Z70" s="310">
        <f t="shared" si="225"/>
        <v>10</v>
      </c>
      <c r="AA70" s="972">
        <f t="shared" si="225"/>
        <v>35</v>
      </c>
      <c r="AB70" s="310">
        <f t="shared" si="225"/>
        <v>21</v>
      </c>
      <c r="AC70" s="310">
        <f t="shared" si="225"/>
        <v>27</v>
      </c>
      <c r="AD70" s="310">
        <f t="shared" si="225"/>
        <v>27</v>
      </c>
      <c r="AE70" s="310">
        <f t="shared" si="225"/>
        <v>38</v>
      </c>
      <c r="AF70" s="972">
        <f t="shared" si="225"/>
        <v>113</v>
      </c>
      <c r="AG70" s="310">
        <f t="shared" si="225"/>
        <v>42</v>
      </c>
      <c r="AH70" s="310">
        <f t="shared" si="225"/>
        <v>40</v>
      </c>
      <c r="AI70" s="310">
        <f t="shared" si="225"/>
        <v>44</v>
      </c>
      <c r="AJ70" s="310">
        <f t="shared" si="225"/>
        <v>51</v>
      </c>
      <c r="AK70" s="972">
        <f t="shared" si="225"/>
        <v>177</v>
      </c>
      <c r="AL70" s="310">
        <f t="shared" si="225"/>
        <v>53</v>
      </c>
      <c r="AM70" s="310">
        <f t="shared" si="225"/>
        <v>48</v>
      </c>
      <c r="AN70" s="310">
        <f t="shared" si="226" ref="AN70:AQ70">AN140</f>
        <v>36</v>
      </c>
      <c r="AO70" s="310">
        <f t="shared" si="226"/>
        <v>40</v>
      </c>
      <c r="AP70" s="972">
        <f t="shared" si="226"/>
        <v>177</v>
      </c>
      <c r="AQ70" s="310">
        <f t="shared" si="226"/>
        <v>33</v>
      </c>
      <c r="AR70" s="310">
        <f t="shared" si="227" ref="AR70:AW70">AR140</f>
        <v>3</v>
      </c>
      <c r="AS70" s="310">
        <f t="shared" si="227"/>
        <v>24</v>
      </c>
      <c r="AT70" s="310">
        <f t="shared" si="227"/>
        <v>-88</v>
      </c>
      <c r="AU70" s="972">
        <f t="shared" si="227"/>
        <v>-16</v>
      </c>
      <c r="AV70" s="310">
        <f t="shared" si="227"/>
        <v>15</v>
      </c>
      <c r="AW70" s="310">
        <f t="shared" si="227"/>
        <v>5</v>
      </c>
      <c r="AX70" s="310">
        <f t="shared" si="228" ref="AX70:BJ70">AX140</f>
        <v>35</v>
      </c>
      <c r="AY70" s="310">
        <f t="shared" si="228"/>
        <v>44</v>
      </c>
      <c r="AZ70" s="972">
        <f t="shared" si="228"/>
        <v>98</v>
      </c>
      <c r="BA70" s="310">
        <f t="shared" si="229" ref="BA70:BI70">BA140</f>
        <v>36</v>
      </c>
      <c r="BB70" s="310">
        <f t="shared" si="229"/>
        <v>52</v>
      </c>
      <c r="BC70" s="310">
        <f t="shared" si="229"/>
        <v>27</v>
      </c>
      <c r="BD70" s="310">
        <f t="shared" si="229"/>
        <v>-72</v>
      </c>
      <c r="BE70" s="972">
        <f t="shared" si="229"/>
        <v>44</v>
      </c>
      <c r="BF70" s="310">
        <f>BF140</f>
        <v>79</v>
      </c>
      <c r="BG70" s="310">
        <f>BG140</f>
        <v>91</v>
      </c>
      <c r="BH70" s="739">
        <f>BH140</f>
        <v>64</v>
      </c>
      <c r="BI70" s="177">
        <f t="shared" si="229"/>
        <v>33</v>
      </c>
      <c r="BJ70" s="973">
        <f t="shared" si="228"/>
        <v>267</v>
      </c>
      <c r="BK70" s="177">
        <f t="shared" si="230" ref="BK70:BR70">BK140</f>
        <v>33</v>
      </c>
      <c r="BL70" s="177">
        <f t="shared" si="230"/>
        <v>33</v>
      </c>
      <c r="BM70" s="177">
        <f t="shared" si="230"/>
        <v>33</v>
      </c>
      <c r="BN70" s="177">
        <f t="shared" si="230"/>
        <v>33</v>
      </c>
      <c r="BO70" s="973">
        <f t="shared" si="230"/>
        <v>132</v>
      </c>
      <c r="BP70" s="973">
        <f t="shared" si="230"/>
        <v>132</v>
      </c>
      <c r="BQ70" s="973">
        <f t="shared" si="230"/>
        <v>132</v>
      </c>
      <c r="BR70" s="973">
        <f t="shared" si="230"/>
        <v>132</v>
      </c>
      <c r="BS70" s="229"/>
    </row>
    <row r="71" spans="1:71" s="224" customFormat="1" ht="15" hidden="1" outlineLevel="1">
      <c r="A71" s="410" t="s">
        <v>367</v>
      </c>
      <c r="B71" s="486"/>
      <c r="C71" s="972">
        <f t="shared" si="231" ref="C71:AN71">C72-C68-C69-C70</f>
        <v>1</v>
      </c>
      <c r="D71" s="972">
        <f t="shared" si="231"/>
        <v>5</v>
      </c>
      <c r="E71" s="972">
        <f t="shared" si="231"/>
        <v>4</v>
      </c>
      <c r="F71" s="972">
        <f t="shared" si="231"/>
        <v>15</v>
      </c>
      <c r="G71" s="972">
        <f t="shared" si="231"/>
        <v>10</v>
      </c>
      <c r="H71" s="310">
        <f t="shared" si="231"/>
        <v>3</v>
      </c>
      <c r="I71" s="310">
        <f t="shared" si="231"/>
        <v>2</v>
      </c>
      <c r="J71" s="310">
        <f t="shared" si="231"/>
        <v>3</v>
      </c>
      <c r="K71" s="310">
        <f t="shared" si="231"/>
        <v>4</v>
      </c>
      <c r="L71" s="972">
        <f t="shared" si="231"/>
        <v>12</v>
      </c>
      <c r="M71" s="310">
        <f t="shared" si="231"/>
        <v>3</v>
      </c>
      <c r="N71" s="310">
        <f t="shared" si="231"/>
        <v>4</v>
      </c>
      <c r="O71" s="310">
        <f t="shared" si="231"/>
        <v>5</v>
      </c>
      <c r="P71" s="310">
        <f t="shared" si="231"/>
        <v>9</v>
      </c>
      <c r="Q71" s="972">
        <f t="shared" si="231"/>
        <v>0</v>
      </c>
      <c r="R71" s="310">
        <f t="shared" si="231"/>
        <v>37</v>
      </c>
      <c r="S71" s="310">
        <f t="shared" si="231"/>
        <v>41</v>
      </c>
      <c r="T71" s="310">
        <f t="shared" si="231"/>
        <v>59</v>
      </c>
      <c r="U71" s="310">
        <f t="shared" si="231"/>
        <v>70</v>
      </c>
      <c r="V71" s="972">
        <f t="shared" si="231"/>
        <v>187</v>
      </c>
      <c r="W71" s="310">
        <f t="shared" si="231"/>
        <v>52</v>
      </c>
      <c r="X71" s="310">
        <f t="shared" si="231"/>
        <v>57</v>
      </c>
      <c r="Y71" s="310">
        <f t="shared" si="231"/>
        <v>59</v>
      </c>
      <c r="Z71" s="310">
        <f t="shared" si="231"/>
        <v>61</v>
      </c>
      <c r="AA71" s="972">
        <f t="shared" si="231"/>
        <v>229</v>
      </c>
      <c r="AB71" s="310">
        <f t="shared" si="231"/>
        <v>53</v>
      </c>
      <c r="AC71" s="310">
        <f t="shared" si="231"/>
        <v>47</v>
      </c>
      <c r="AD71" s="310">
        <f t="shared" si="231"/>
        <v>50</v>
      </c>
      <c r="AE71" s="310">
        <f t="shared" si="231"/>
        <v>49</v>
      </c>
      <c r="AF71" s="972">
        <f t="shared" si="231"/>
        <v>199</v>
      </c>
      <c r="AG71" s="310">
        <f t="shared" si="231"/>
        <v>-13</v>
      </c>
      <c r="AH71" s="310">
        <f t="shared" si="231"/>
        <v>49</v>
      </c>
      <c r="AI71" s="310">
        <f t="shared" si="231"/>
        <v>50</v>
      </c>
      <c r="AJ71" s="310">
        <f t="shared" si="231"/>
        <v>99</v>
      </c>
      <c r="AK71" s="972">
        <f t="shared" si="231"/>
        <v>185</v>
      </c>
      <c r="AL71" s="310">
        <f t="shared" si="231"/>
        <v>32</v>
      </c>
      <c r="AM71" s="310">
        <f t="shared" si="231"/>
        <v>17</v>
      </c>
      <c r="AN71" s="310">
        <f t="shared" si="231"/>
        <v>22</v>
      </c>
      <c r="AO71" s="310">
        <f t="shared" si="232" ref="AO71:AQ71">AO72-AO68-AO69-AO70</f>
        <v>25</v>
      </c>
      <c r="AP71" s="972">
        <f t="shared" si="232"/>
        <v>97</v>
      </c>
      <c r="AQ71" s="310">
        <f t="shared" si="232"/>
        <v>11</v>
      </c>
      <c r="AR71" s="310">
        <f t="shared" si="233" ref="AR71:AW71">AR72-AR68-AR69-AR70</f>
        <v>9</v>
      </c>
      <c r="AS71" s="310">
        <f t="shared" si="233"/>
        <v>13</v>
      </c>
      <c r="AT71" s="310">
        <f t="shared" si="233"/>
        <v>29</v>
      </c>
      <c r="AU71" s="972">
        <f t="shared" si="233"/>
        <v>49</v>
      </c>
      <c r="AV71" s="310">
        <f t="shared" si="233"/>
        <v>24</v>
      </c>
      <c r="AW71" s="310">
        <f t="shared" si="233"/>
        <v>16</v>
      </c>
      <c r="AX71" s="310">
        <f t="shared" si="234" ref="AX71:BC71">AX72-AX68-AX69-AX70</f>
        <v>37</v>
      </c>
      <c r="AY71" s="310">
        <f t="shared" si="234"/>
        <v>56</v>
      </c>
      <c r="AZ71" s="972">
        <f t="shared" si="234"/>
        <v>134</v>
      </c>
      <c r="BA71" s="310">
        <f t="shared" si="234"/>
        <v>99</v>
      </c>
      <c r="BB71" s="310">
        <f t="shared" si="234"/>
        <v>107</v>
      </c>
      <c r="BC71" s="310">
        <f t="shared" si="234"/>
        <v>89</v>
      </c>
      <c r="BD71" s="310">
        <f>BD72-BD68-BD69-BD70</f>
        <v>71</v>
      </c>
      <c r="BE71" s="972">
        <f>BE72-BE68-BE69-BE70</f>
        <v>365</v>
      </c>
      <c r="BF71" s="310">
        <f>BF72-BF68-BF69-BF70</f>
        <v>67</v>
      </c>
      <c r="BG71" s="310">
        <f>BG72-BG68-BG69-BG70</f>
        <v>61</v>
      </c>
      <c r="BH71" s="739">
        <f>BH72-BH68-BH69-BH70</f>
        <v>70</v>
      </c>
      <c r="BI71" s="884">
        <v>45</v>
      </c>
      <c r="BJ71" s="973">
        <f>SUM(BF71,BG71,BH71,BI71)</f>
        <v>243</v>
      </c>
      <c r="BK71" s="884">
        <v>45</v>
      </c>
      <c r="BL71" s="884">
        <v>45</v>
      </c>
      <c r="BM71" s="884">
        <v>25</v>
      </c>
      <c r="BN71" s="884">
        <v>45</v>
      </c>
      <c r="BO71" s="973">
        <f>SUM(BK71,BL71,BM71,BN71)</f>
        <v>160</v>
      </c>
      <c r="BP71" s="984">
        <v>180</v>
      </c>
      <c r="BQ71" s="984">
        <v>180</v>
      </c>
      <c r="BR71" s="984">
        <v>180</v>
      </c>
      <c r="BS71" s="229"/>
    </row>
    <row r="72" spans="1:71" s="44" customFormat="1" ht="15" hidden="1" outlineLevel="1">
      <c r="A72" s="108" t="s">
        <v>21</v>
      </c>
      <c r="B72" s="397"/>
      <c r="C72" s="977">
        <f t="shared" si="235" ref="C72:AM72">+C164</f>
        <v>2765</v>
      </c>
      <c r="D72" s="977">
        <f t="shared" si="235"/>
        <v>3007</v>
      </c>
      <c r="E72" s="977">
        <f t="shared" si="235"/>
        <v>3280</v>
      </c>
      <c r="F72" s="977">
        <f t="shared" si="235"/>
        <v>3473</v>
      </c>
      <c r="G72" s="977">
        <f t="shared" si="235"/>
        <v>3293</v>
      </c>
      <c r="H72" s="100">
        <f t="shared" si="235"/>
        <v>827</v>
      </c>
      <c r="I72" s="100">
        <f t="shared" si="235"/>
        <v>843</v>
      </c>
      <c r="J72" s="100">
        <f t="shared" si="235"/>
        <v>841</v>
      </c>
      <c r="K72" s="100">
        <f t="shared" si="235"/>
        <v>808</v>
      </c>
      <c r="L72" s="977">
        <f t="shared" si="235"/>
        <v>3319</v>
      </c>
      <c r="M72" s="100">
        <f t="shared" si="235"/>
        <v>782</v>
      </c>
      <c r="N72" s="100">
        <f t="shared" si="235"/>
        <v>777</v>
      </c>
      <c r="O72" s="100">
        <f t="shared" si="235"/>
        <v>784</v>
      </c>
      <c r="P72" s="100">
        <f t="shared" si="235"/>
        <v>792</v>
      </c>
      <c r="Q72" s="977">
        <f t="shared" si="235"/>
        <v>3135</v>
      </c>
      <c r="R72" s="100">
        <f t="shared" si="235"/>
        <v>801</v>
      </c>
      <c r="S72" s="100">
        <f t="shared" si="235"/>
        <v>822</v>
      </c>
      <c r="T72" s="100">
        <f t="shared" si="235"/>
        <v>842</v>
      </c>
      <c r="U72" s="100">
        <f t="shared" si="235"/>
        <v>813</v>
      </c>
      <c r="V72" s="977">
        <f t="shared" si="235"/>
        <v>3278</v>
      </c>
      <c r="W72" s="100">
        <f t="shared" si="235"/>
        <v>794</v>
      </c>
      <c r="X72" s="100">
        <f t="shared" si="235"/>
        <v>802</v>
      </c>
      <c r="Y72" s="100">
        <f t="shared" si="235"/>
        <v>811</v>
      </c>
      <c r="Z72" s="100">
        <f t="shared" si="235"/>
        <v>813</v>
      </c>
      <c r="AA72" s="977">
        <f t="shared" si="235"/>
        <v>3220</v>
      </c>
      <c r="AB72" s="100">
        <f t="shared" si="235"/>
        <v>837</v>
      </c>
      <c r="AC72" s="100">
        <f t="shared" si="235"/>
        <v>862</v>
      </c>
      <c r="AD72" s="100">
        <f t="shared" si="235"/>
        <v>870</v>
      </c>
      <c r="AE72" s="100">
        <f t="shared" si="235"/>
        <v>873</v>
      </c>
      <c r="AF72" s="977">
        <f t="shared" si="235"/>
        <v>3442</v>
      </c>
      <c r="AG72" s="100">
        <f t="shared" si="235"/>
        <v>878</v>
      </c>
      <c r="AH72" s="100">
        <f t="shared" si="235"/>
        <v>878</v>
      </c>
      <c r="AI72" s="100">
        <f t="shared" si="235"/>
        <v>936</v>
      </c>
      <c r="AJ72" s="100">
        <f t="shared" si="235"/>
        <v>886</v>
      </c>
      <c r="AK72" s="977">
        <f t="shared" si="235"/>
        <v>3578</v>
      </c>
      <c r="AL72" s="100">
        <f t="shared" si="235"/>
        <v>904</v>
      </c>
      <c r="AM72" s="100">
        <f t="shared" si="235"/>
        <v>870</v>
      </c>
      <c r="AN72" s="100">
        <f t="shared" si="236" ref="AN72:AQ72">+AN164</f>
        <v>896</v>
      </c>
      <c r="AO72" s="100">
        <f t="shared" si="236"/>
        <v>968</v>
      </c>
      <c r="AP72" s="977">
        <f t="shared" si="236"/>
        <v>3638</v>
      </c>
      <c r="AQ72" s="100">
        <f t="shared" si="236"/>
        <v>925</v>
      </c>
      <c r="AR72" s="100">
        <f t="shared" si="237" ref="AR72:AW72">+AR164</f>
        <v>993</v>
      </c>
      <c r="AS72" s="100">
        <f t="shared" si="237"/>
        <v>991</v>
      </c>
      <c r="AT72" s="100">
        <f t="shared" si="237"/>
        <v>909</v>
      </c>
      <c r="AU72" s="977">
        <f t="shared" si="237"/>
        <v>3818</v>
      </c>
      <c r="AV72" s="100">
        <f t="shared" si="237"/>
        <v>903</v>
      </c>
      <c r="AW72" s="100">
        <f t="shared" si="237"/>
        <v>937</v>
      </c>
      <c r="AX72" s="100">
        <f t="shared" si="238" ref="AX72:BC72">+AX164</f>
        <v>920</v>
      </c>
      <c r="AY72" s="100">
        <f t="shared" si="238"/>
        <v>896</v>
      </c>
      <c r="AZ72" s="977">
        <f t="shared" si="238"/>
        <v>3656</v>
      </c>
      <c r="BA72" s="100">
        <f t="shared" si="238"/>
        <v>943</v>
      </c>
      <c r="BB72" s="100">
        <f t="shared" si="238"/>
        <v>999</v>
      </c>
      <c r="BC72" s="100">
        <f t="shared" si="238"/>
        <v>1004</v>
      </c>
      <c r="BD72" s="100">
        <f>+BD164</f>
        <v>865</v>
      </c>
      <c r="BE72" s="977">
        <f>+BE164</f>
        <v>3811</v>
      </c>
      <c r="BF72" s="100">
        <f>+BF164</f>
        <v>1000</v>
      </c>
      <c r="BG72" s="100">
        <f>+BG164</f>
        <v>1095</v>
      </c>
      <c r="BH72" s="741">
        <f>+BH164</f>
        <v>1006</v>
      </c>
      <c r="BI72" s="185">
        <f>SUM(BI68:BI71)</f>
        <v>1212.912917486339</v>
      </c>
      <c r="BJ72" s="978">
        <f t="shared" si="239" ref="BJ72">SUM(BJ68:BJ71)</f>
        <v>4313.9129174863392</v>
      </c>
      <c r="BK72" s="185">
        <f t="shared" si="240" ref="BK72:BR72">SUM(BK68:BK71)</f>
        <v>802.34091698630152</v>
      </c>
      <c r="BL72" s="185">
        <f t="shared" si="240"/>
        <v>787.62408328767128</v>
      </c>
      <c r="BM72" s="185">
        <f t="shared" si="240"/>
        <v>786.0607251506849</v>
      </c>
      <c r="BN72" s="185">
        <f t="shared" si="240"/>
        <v>839.74370049863012</v>
      </c>
      <c r="BO72" s="978">
        <f t="shared" si="240"/>
        <v>3215.7694259232876</v>
      </c>
      <c r="BP72" s="978">
        <f t="shared" si="240"/>
        <v>3260.4782447287503</v>
      </c>
      <c r="BQ72" s="978">
        <f t="shared" si="240"/>
        <v>3320.829441294788</v>
      </c>
      <c r="BR72" s="978">
        <f t="shared" si="240"/>
        <v>3383.3274705324234</v>
      </c>
      <c r="BS72" s="100"/>
    </row>
    <row r="73" spans="1:71" s="42" customFormat="1" ht="15" hidden="1" outlineLevel="1">
      <c r="A73" s="398"/>
      <c r="B73" s="393"/>
      <c r="C73" s="964"/>
      <c r="D73" s="964"/>
      <c r="E73" s="964"/>
      <c r="F73" s="964"/>
      <c r="G73" s="964"/>
      <c r="H73" s="395"/>
      <c r="I73" s="395"/>
      <c r="J73" s="395"/>
      <c r="K73" s="395"/>
      <c r="L73" s="964"/>
      <c r="M73" s="395"/>
      <c r="N73" s="395"/>
      <c r="O73" s="395"/>
      <c r="P73" s="395"/>
      <c r="Q73" s="964"/>
      <c r="R73" s="395"/>
      <c r="S73" s="395"/>
      <c r="T73" s="395"/>
      <c r="U73" s="395"/>
      <c r="V73" s="964"/>
      <c r="W73" s="395"/>
      <c r="X73" s="395"/>
      <c r="Y73" s="395"/>
      <c r="Z73" s="395"/>
      <c r="AA73" s="964"/>
      <c r="AB73" s="395"/>
      <c r="AC73" s="395"/>
      <c r="AD73" s="395"/>
      <c r="AE73" s="395"/>
      <c r="AF73" s="964"/>
      <c r="AG73" s="395"/>
      <c r="AH73" s="395"/>
      <c r="AI73" s="395"/>
      <c r="AJ73" s="395"/>
      <c r="AK73" s="964"/>
      <c r="AL73" s="395"/>
      <c r="AM73" s="395"/>
      <c r="AN73" s="395"/>
      <c r="AO73" s="395"/>
      <c r="AP73" s="964"/>
      <c r="AQ73" s="395"/>
      <c r="AR73" s="395"/>
      <c r="AS73" s="395"/>
      <c r="AT73" s="395"/>
      <c r="AU73" s="964"/>
      <c r="AV73" s="395"/>
      <c r="AW73" s="395"/>
      <c r="AX73" s="395"/>
      <c r="AY73" s="395"/>
      <c r="AZ73" s="964"/>
      <c r="BA73" s="395"/>
      <c r="BB73" s="395"/>
      <c r="BC73" s="395"/>
      <c r="BD73" s="395"/>
      <c r="BE73" s="964"/>
      <c r="BF73" s="395"/>
      <c r="BG73" s="395"/>
      <c r="BH73" s="737"/>
      <c r="BI73" s="395"/>
      <c r="BJ73" s="964"/>
      <c r="BK73" s="395"/>
      <c r="BL73" s="395"/>
      <c r="BM73" s="395"/>
      <c r="BN73" s="395"/>
      <c r="BO73" s="964"/>
      <c r="BP73" s="964"/>
      <c r="BQ73" s="964"/>
      <c r="BR73" s="964"/>
      <c r="BS73" s="91"/>
    </row>
    <row r="74" spans="1:71" s="421" customFormat="1" ht="15" hidden="1" outlineLevel="1">
      <c r="A74" s="417" t="s">
        <v>381</v>
      </c>
      <c r="B74" s="489"/>
      <c r="C74" s="985"/>
      <c r="D74" s="985"/>
      <c r="E74" s="985"/>
      <c r="F74" s="985"/>
      <c r="G74" s="985"/>
      <c r="H74" s="490"/>
      <c r="I74" s="490"/>
      <c r="J74" s="490"/>
      <c r="K74" s="490"/>
      <c r="L74" s="985"/>
      <c r="M74" s="490"/>
      <c r="N74" s="490"/>
      <c r="O74" s="490"/>
      <c r="P74" s="490"/>
      <c r="Q74" s="985"/>
      <c r="R74" s="490"/>
      <c r="S74" s="490"/>
      <c r="T74" s="490"/>
      <c r="U74" s="490"/>
      <c r="V74" s="985"/>
      <c r="W74" s="420">
        <f t="shared" si="241" ref="W74:AM74">W108</f>
        <v>0.022752122117585177</v>
      </c>
      <c r="X74" s="420">
        <f t="shared" si="241"/>
        <v>0.021919155452962007</v>
      </c>
      <c r="Y74" s="420">
        <f t="shared" si="241"/>
        <v>0.02176942998571137</v>
      </c>
      <c r="Z74" s="420">
        <f t="shared" si="241"/>
        <v>0.021531400872548432</v>
      </c>
      <c r="AA74" s="986">
        <f t="shared" si="241"/>
        <v>0.021982582217424183</v>
      </c>
      <c r="AB74" s="420">
        <f t="shared" si="241"/>
        <v>0.021937954900544766</v>
      </c>
      <c r="AC74" s="420">
        <f t="shared" si="241"/>
        <v>0.021917775098597291</v>
      </c>
      <c r="AD74" s="420">
        <f t="shared" si="241"/>
        <v>0.022479293622319818</v>
      </c>
      <c r="AE74" s="420">
        <f t="shared" si="241"/>
        <v>0.022584770233479087</v>
      </c>
      <c r="AF74" s="986">
        <f t="shared" si="241"/>
        <v>0.022227524375403259</v>
      </c>
      <c r="AG74" s="420">
        <f t="shared" si="241"/>
        <v>0.025012351684188465</v>
      </c>
      <c r="AH74" s="420">
        <f t="shared" si="241"/>
        <v>0.021465914790694655</v>
      </c>
      <c r="AI74" s="420">
        <f t="shared" si="241"/>
        <v>0.022383935939703753</v>
      </c>
      <c r="AJ74" s="420">
        <f t="shared" si="241"/>
        <v>0.018941168696428711</v>
      </c>
      <c r="AK74" s="986">
        <f t="shared" si="241"/>
        <v>0.021888575321251193</v>
      </c>
      <c r="AL74" s="420">
        <f t="shared" si="241"/>
        <v>0.022376368805358055</v>
      </c>
      <c r="AM74" s="420">
        <f t="shared" si="241"/>
        <v>0.021829151308097369</v>
      </c>
      <c r="AN74" s="420">
        <f t="shared" si="242" ref="AN74:AQ74">AN108</f>
        <v>0.022014288630332723</v>
      </c>
      <c r="AO74" s="420">
        <f t="shared" si="242"/>
        <v>0.023325413409421174</v>
      </c>
      <c r="AP74" s="986">
        <f t="shared" si="242"/>
        <v>0.02239795447325317</v>
      </c>
      <c r="AQ74" s="420">
        <f t="shared" si="242"/>
        <v>0.023526136570902741</v>
      </c>
      <c r="AR74" s="420">
        <f t="shared" si="243" ref="AR74:AW74">AR108</f>
        <v>0.026579954789802924</v>
      </c>
      <c r="AS74" s="420">
        <f t="shared" si="243"/>
        <v>0.025309729398237432</v>
      </c>
      <c r="AT74" s="420">
        <f t="shared" si="243"/>
        <v>0.025983305831029986</v>
      </c>
      <c r="AU74" s="986">
        <f t="shared" si="243"/>
        <v>0.025346418503170744</v>
      </c>
      <c r="AV74" s="420">
        <f t="shared" si="243"/>
        <v>0.024556253558653283</v>
      </c>
      <c r="AW74" s="420">
        <f t="shared" si="243"/>
        <v>0.028267464554803903</v>
      </c>
      <c r="AX74" s="490">
        <f t="shared" si="244" ref="AX74:BJ74">AX108</f>
        <v>0.027882512187905287</v>
      </c>
      <c r="AY74" s="490">
        <f t="shared" si="245" ref="AY74:AZ74">AY108</f>
        <v>0.025737931214835957</v>
      </c>
      <c r="AZ74" s="985">
        <f t="shared" si="245"/>
        <v>0.026553440022911212</v>
      </c>
      <c r="BA74" s="420">
        <f t="shared" si="246" ref="BA74:BI74">BA108</f>
        <v>0.026035665294924553</v>
      </c>
      <c r="BB74" s="420">
        <f t="shared" si="246"/>
        <v>0.027344335281148997</v>
      </c>
      <c r="BC74" s="490">
        <f t="shared" si="246"/>
        <v>0.030411075626989543</v>
      </c>
      <c r="BD74" s="490">
        <f t="shared" si="246"/>
        <v>0.030095502473728827</v>
      </c>
      <c r="BE74" s="985">
        <f t="shared" si="246"/>
        <v>0.028418987235504366</v>
      </c>
      <c r="BF74" s="420">
        <f>BF108</f>
        <v>0.03046596869803098</v>
      </c>
      <c r="BG74" s="420">
        <f>BG108</f>
        <v>0.035601417079959292</v>
      </c>
      <c r="BH74" s="886">
        <f>BH108</f>
        <v>0.031697572929719073</v>
      </c>
      <c r="BI74" s="490">
        <f t="shared" si="246"/>
        <v>0.042000000000000003</v>
      </c>
      <c r="BJ74" s="985">
        <f t="shared" si="244"/>
        <v>0.035011433500549492</v>
      </c>
      <c r="BK74" s="490">
        <f t="shared" si="247" ref="BK74:BR74">BK108</f>
        <v>0.024</v>
      </c>
      <c r="BL74" s="490">
        <f t="shared" si="247"/>
        <v>0.024</v>
      </c>
      <c r="BM74" s="490">
        <f t="shared" si="247"/>
        <v>0.024</v>
      </c>
      <c r="BN74" s="490">
        <f t="shared" si="247"/>
        <v>0.024</v>
      </c>
      <c r="BO74" s="985">
        <f t="shared" si="247"/>
        <v>0.024</v>
      </c>
      <c r="BP74" s="985">
        <f t="shared" si="247"/>
        <v>0.023999999999999997</v>
      </c>
      <c r="BQ74" s="985">
        <f t="shared" si="247"/>
        <v>0.023999999999999997</v>
      </c>
      <c r="BR74" s="985">
        <f t="shared" si="247"/>
        <v>0.023999999999999997</v>
      </c>
      <c r="BS74" s="420"/>
    </row>
    <row r="75" spans="1:71" s="421" customFormat="1" ht="15" hidden="1" outlineLevel="1">
      <c r="A75" s="418" t="s">
        <v>388</v>
      </c>
      <c r="B75" s="491"/>
      <c r="C75" s="987"/>
      <c r="D75" s="987"/>
      <c r="E75" s="987"/>
      <c r="F75" s="987"/>
      <c r="G75" s="987"/>
      <c r="H75" s="492"/>
      <c r="I75" s="492"/>
      <c r="J75" s="492"/>
      <c r="K75" s="492"/>
      <c r="L75" s="987"/>
      <c r="M75" s="492"/>
      <c r="N75" s="492"/>
      <c r="O75" s="492"/>
      <c r="P75" s="492"/>
      <c r="Q75" s="987"/>
      <c r="R75" s="492"/>
      <c r="S75" s="492"/>
      <c r="T75" s="492"/>
      <c r="U75" s="492"/>
      <c r="V75" s="987"/>
      <c r="W75" s="423">
        <f t="shared" si="248" ref="W75:AM75">W136</f>
        <v>0.051620643490213371</v>
      </c>
      <c r="X75" s="423">
        <f t="shared" si="248"/>
        <v>0.050298036921974501</v>
      </c>
      <c r="Y75" s="423">
        <f t="shared" si="248"/>
        <v>0.049102384771237073</v>
      </c>
      <c r="Z75" s="423">
        <f t="shared" si="248"/>
        <v>0.049493811597183107</v>
      </c>
      <c r="AA75" s="988">
        <f t="shared" si="248"/>
        <v>0.050103180204479389</v>
      </c>
      <c r="AB75" s="423">
        <f t="shared" si="248"/>
        <v>0.049831295223606964</v>
      </c>
      <c r="AC75" s="423">
        <f t="shared" si="248"/>
        <v>0.052195052195052195</v>
      </c>
      <c r="AD75" s="423">
        <f t="shared" si="248"/>
        <v>0.052862743518689199</v>
      </c>
      <c r="AE75" s="423">
        <f t="shared" si="248"/>
        <v>0.051866881604204329</v>
      </c>
      <c r="AF75" s="988">
        <f t="shared" si="248"/>
        <v>0.051690441354223141</v>
      </c>
      <c r="AG75" s="423">
        <f t="shared" si="248"/>
        <v>0.050094792793421494</v>
      </c>
      <c r="AH75" s="423">
        <f t="shared" si="248"/>
        <v>0.047288555557754831</v>
      </c>
      <c r="AI75" s="423">
        <f t="shared" si="248"/>
        <v>0.045569283458066982</v>
      </c>
      <c r="AJ75" s="423">
        <f t="shared" si="248"/>
        <v>0.044860257226120276</v>
      </c>
      <c r="AK75" s="988">
        <f t="shared" si="248"/>
        <v>0.046850469186590818</v>
      </c>
      <c r="AL75" s="423">
        <f t="shared" si="248"/>
        <v>0.045798385865292709</v>
      </c>
      <c r="AM75" s="423">
        <f t="shared" si="248"/>
        <v>0.043943479103078914</v>
      </c>
      <c r="AN75" s="423">
        <f t="shared" si="249" ref="AN75:AQ75">AN136</f>
        <v>0.042554746465398106</v>
      </c>
      <c r="AO75" s="423">
        <f t="shared" si="249"/>
        <v>0.042889759693206735</v>
      </c>
      <c r="AP75" s="988">
        <f t="shared" si="249"/>
        <v>0.04369472487335295</v>
      </c>
      <c r="AQ75" s="423">
        <f t="shared" si="249"/>
        <v>0.042384595337298644</v>
      </c>
      <c r="AR75" s="423">
        <f t="shared" si="250" ref="AR75:AW75">AR136</f>
        <v>0.044745421029212792</v>
      </c>
      <c r="AS75" s="423">
        <f t="shared" si="250"/>
        <v>0.043538839905221914</v>
      </c>
      <c r="AT75" s="423">
        <f t="shared" si="250"/>
        <v>0.044557099763783234</v>
      </c>
      <c r="AU75" s="988">
        <f t="shared" si="250"/>
        <v>0.043876675946012605</v>
      </c>
      <c r="AV75" s="423">
        <f t="shared" si="250"/>
        <v>0.043557215866344978</v>
      </c>
      <c r="AW75" s="423">
        <f t="shared" si="250"/>
        <v>0.048173302163781018</v>
      </c>
      <c r="AX75" s="492">
        <f t="shared" si="251" ref="AX75:BJ75">AX136</f>
        <v>0.048469087453235679</v>
      </c>
      <c r="AY75" s="492">
        <f t="shared" si="252" ref="AY75:AZ75">AY136</f>
        <v>0.050721742604526741</v>
      </c>
      <c r="AZ75" s="987">
        <f t="shared" si="252"/>
        <v>0.047685449591638993</v>
      </c>
      <c r="BA75" s="423">
        <f t="shared" si="253" ref="BA75:BI75">BA136</f>
        <v>0.051889617746602869</v>
      </c>
      <c r="BB75" s="423">
        <f t="shared" si="253"/>
        <v>0.052884146996445246</v>
      </c>
      <c r="BC75" s="492">
        <f t="shared" si="253"/>
        <v>0.055073378228526551</v>
      </c>
      <c r="BD75" s="492">
        <f t="shared" si="253"/>
        <v>0.054159710491857235</v>
      </c>
      <c r="BE75" s="987">
        <f t="shared" si="253"/>
        <v>0.053504122257545035</v>
      </c>
      <c r="BF75" s="423">
        <f>BF136</f>
        <v>0.051571844793344278</v>
      </c>
      <c r="BG75" s="423">
        <f>BG136</f>
        <v>0.054717374487718969</v>
      </c>
      <c r="BH75" s="887">
        <f>BH136</f>
        <v>0.051324514366990974</v>
      </c>
      <c r="BI75" s="492">
        <f t="shared" si="253"/>
        <v>0.05</v>
      </c>
      <c r="BJ75" s="987">
        <f t="shared" si="251"/>
        <v>0.051873794299326155</v>
      </c>
      <c r="BK75" s="492">
        <f t="shared" si="254" ref="BK75:BR75">BK136</f>
        <v>0.05</v>
      </c>
      <c r="BL75" s="492">
        <f t="shared" si="254"/>
        <v>0.05</v>
      </c>
      <c r="BM75" s="492">
        <f t="shared" si="254"/>
        <v>0.05</v>
      </c>
      <c r="BN75" s="492">
        <f t="shared" si="254"/>
        <v>0.05</v>
      </c>
      <c r="BO75" s="987">
        <f t="shared" si="254"/>
        <v>0.05000000000000001</v>
      </c>
      <c r="BP75" s="987">
        <f t="shared" si="254"/>
        <v>0.04250000000000001</v>
      </c>
      <c r="BQ75" s="987">
        <f t="shared" si="254"/>
        <v>0.04250000000000001</v>
      </c>
      <c r="BR75" s="987">
        <f t="shared" si="254"/>
        <v>0.04250000000000001</v>
      </c>
      <c r="BS75" s="420"/>
    </row>
    <row r="76" spans="1:71" s="47" customFormat="1" ht="15" hidden="1" outlineLevel="1">
      <c r="A76" s="87" t="s">
        <v>22</v>
      </c>
      <c r="B76" s="493"/>
      <c r="C76" s="989"/>
      <c r="D76" s="990">
        <f>D72/D66</f>
        <v>0.038311100918600058</v>
      </c>
      <c r="E76" s="990">
        <f>E72/E66</f>
        <v>0.035019912236683361</v>
      </c>
      <c r="F76" s="990">
        <f>F72/F66</f>
        <v>0.031951644732302623</v>
      </c>
      <c r="G76" s="990">
        <f>G72/G66</f>
        <v>0.029654110421713328</v>
      </c>
      <c r="H76" s="97">
        <f>H72/H66*(L$3/H$3)</f>
        <v>0.031284606435598668</v>
      </c>
      <c r="I76" s="97">
        <f>I72/I66*(L$3/I$3)</f>
        <v>0.030602302788599347</v>
      </c>
      <c r="J76" s="97">
        <f>J72/J66*(L$3/J$3)</f>
        <v>0.02972358177657286</v>
      </c>
      <c r="K76" s="97">
        <f>K72/K66*(L$3/K$3)</f>
        <v>0.029860575049956626</v>
      </c>
      <c r="L76" s="990">
        <f>L72/L66</f>
        <v>0.030356301239421693</v>
      </c>
      <c r="M76" s="97">
        <f>M72/M66*(Q$3/M$3)</f>
        <v>0.030637387100911885</v>
      </c>
      <c r="N76" s="97">
        <f>N72/N66*(Q$3/N$3)</f>
        <v>0.030475868099630474</v>
      </c>
      <c r="O76" s="97">
        <f>O72/O66*(Q$3/O$3)</f>
        <v>0.030864071033094319</v>
      </c>
      <c r="P76" s="97">
        <f>P72/P66*(Q$3/P$3)</f>
        <v>0.030968514914658754</v>
      </c>
      <c r="Q76" s="990">
        <f>Q72/Q66</f>
        <v>0.030736494104060708</v>
      </c>
      <c r="R76" s="97">
        <f>R72/R66*(V$3/R$3)</f>
        <v>0.030332687395648161</v>
      </c>
      <c r="S76" s="97">
        <f>S72/S66*(V$3/S$3)</f>
        <v>0.028359504311021334</v>
      </c>
      <c r="T76" s="97">
        <f>T72/T66*(V$3/T$3)</f>
        <v>0.027239055834354525</v>
      </c>
      <c r="U76" s="97">
        <f>U72/U66*(V$3/U$3)</f>
        <v>0.02750663219717496</v>
      </c>
      <c r="V76" s="990">
        <f>V72/V66</f>
        <v>0.028292729769184708</v>
      </c>
      <c r="W76" s="97">
        <f>W72/W66*(AA$3/W$3)</f>
        <v>0.028271388157252952</v>
      </c>
      <c r="X76" s="97">
        <f>X72/X66*(AA$3/X$3)</f>
        <v>0.027502357002634866</v>
      </c>
      <c r="Y76" s="97">
        <f>Y72/Y66*(AA$3/Y$3)</f>
        <v>0.027360853999898696</v>
      </c>
      <c r="Z76" s="97">
        <f>Z72/Z66*(AA$3/Z$3)</f>
        <v>0.027135734913008729</v>
      </c>
      <c r="AA76" s="990">
        <f>AA72/AA66</f>
        <v>0.027557298159907314</v>
      </c>
      <c r="AB76" s="97">
        <f>AB72/AB66*(AF$3/AB$3)</f>
        <v>0.027291474881310826</v>
      </c>
      <c r="AC76" s="97">
        <f>AC72/AC66*(AF$3/AC$3)</f>
        <v>0.027368036945936536</v>
      </c>
      <c r="AD76" s="97">
        <f>AD72/AD66*(AF$3/AD$3)</f>
        <v>0.028192800222026627</v>
      </c>
      <c r="AE76" s="97">
        <f>AE72/AE66*(AF$3/AE$3)</f>
        <v>0.028542736308273912</v>
      </c>
      <c r="AF76" s="990">
        <f>AF72/AF66</f>
        <v>0.02784560498274375</v>
      </c>
      <c r="AG76" s="97">
        <f>AG72/AG66*(AK$3/AG$3)</f>
        <v>0.028548801194440435</v>
      </c>
      <c r="AH76" s="97">
        <f>AH72/AH66*(AK$3/AH$3)</f>
        <v>0.026972996366847565</v>
      </c>
      <c r="AI76" s="97">
        <f>AI72/AI66*(AK$3/AI$3)</f>
        <v>0.027622647660370477</v>
      </c>
      <c r="AJ76" s="97">
        <f>AJ72/AJ66*(AK$3/AJ$3)</f>
        <v>0.026184377726105532</v>
      </c>
      <c r="AK76" s="990">
        <f>AK72/AK66</f>
        <v>0.027307215827809872</v>
      </c>
      <c r="AL76" s="97">
        <f>AL72/AL66*(AP$3/AL$3)</f>
        <v>0.027335915642546119</v>
      </c>
      <c r="AM76" s="97">
        <f>AM72/AM66*(AP$3/AM$3)</f>
        <v>0.025965189586982081</v>
      </c>
      <c r="AN76" s="97">
        <f>AN72/AN66*(AP$3/AN$3)</f>
        <v>0.025711464517605049</v>
      </c>
      <c r="AO76" s="97">
        <f>AO72/AO66*(AP$3/AO$3)</f>
        <v>0.027007388520426754</v>
      </c>
      <c r="AP76" s="990">
        <f>AP72/AP66</f>
        <v>0.026503139463618298</v>
      </c>
      <c r="AQ76" s="97">
        <f>AQ72/AQ66*(AU$3/AQ$3)</f>
        <v>0.02651992244125459</v>
      </c>
      <c r="AR76" s="97">
        <f>AR72/AR66*(AU$3/AR$3)</f>
        <v>0.028496289161169554</v>
      </c>
      <c r="AS76" s="97">
        <f>AS72/AS66*(AU$3/AS$3)</f>
        <v>0.027979936966144522</v>
      </c>
      <c r="AT76" s="97">
        <f>AT72/AT66*(AU$3/AT$3)</f>
        <v>0.025970904070978448</v>
      </c>
      <c r="AU76" s="990">
        <f>AU72/AU66</f>
        <v>0.027243207860210009</v>
      </c>
      <c r="AV76" s="97">
        <f>AV72/AV66*(AZ$3/AV$3)</f>
        <v>0.027509129856163293</v>
      </c>
      <c r="AW76" s="97">
        <f>AW72/AW66*(AZ$3/AW$3)</f>
        <v>0.030734416912381143</v>
      </c>
      <c r="AX76" s="59">
        <f>AX72/AX66*(AZ$3/AX$3)</f>
        <v>0.03229231177563479</v>
      </c>
      <c r="AY76" s="97">
        <f>AY72/AY66*(AZ$3/AY$3)</f>
        <v>0.031842618946358273</v>
      </c>
      <c r="AZ76" s="990">
        <f>AZ72/AZ66</f>
        <v>0.030481754439183596</v>
      </c>
      <c r="BA76" s="97">
        <f>BA72/BA66*(BE$3/BA$3)</f>
        <v>0.033234603305645476</v>
      </c>
      <c r="BB76" s="97">
        <f>BB72/BB66*(BE$3/BB$3)</f>
        <v>0.035082150835497539</v>
      </c>
      <c r="BC76" s="59">
        <f>BC72/BC66*(BE$3/BC$3)</f>
        <v>0.036619772918635669</v>
      </c>
      <c r="BD76" s="97">
        <f>BD72/BD66*(BE$3/BD$3)</f>
        <v>0.03191505062132885</v>
      </c>
      <c r="BE76" s="990">
        <f>BE72/BE66</f>
        <v>0.034219225329373097</v>
      </c>
      <c r="BF76" s="97">
        <f>BF72/BF66*(BJ$3/BF$3)</f>
        <v>0.037262618792414222</v>
      </c>
      <c r="BG76" s="97">
        <f>BG72/BG66*(BJ$3/BG$3)</f>
        <v>0.042308750633477922</v>
      </c>
      <c r="BH76" s="746">
        <f>BH72/BH66*(BJ$3/BH$3)</f>
        <v>0.037834829548233667</v>
      </c>
      <c r="BI76" s="59">
        <f>BI72/BI66*(BJ$3/BI$3)</f>
        <v>0.043461385236167986</v>
      </c>
      <c r="BJ76" s="989">
        <f>BJ72/BJ66</f>
        <v>0.040236168752490087</v>
      </c>
      <c r="BK76" s="59">
        <f>BK72/BK66*(BO$3/BK$3)</f>
        <v>0.029358214998636799</v>
      </c>
      <c r="BL76" s="59">
        <f>BL72/BL66*(BO$3/BL$3)</f>
        <v>0.029503191056050978</v>
      </c>
      <c r="BM76" s="59">
        <f>BM72/BM66*(BO$3/BM$3)</f>
        <v>0.028730088795281616</v>
      </c>
      <c r="BN76" s="59">
        <f>BN72/BN66*(BO$3/BN$3)</f>
        <v>0.029324156657517579</v>
      </c>
      <c r="BO76" s="989">
        <f>BO72/BO66</f>
        <v>0.029228326373868293</v>
      </c>
      <c r="BP76" s="989">
        <f>BP72/BP66</f>
        <v>0.028212770738643634</v>
      </c>
      <c r="BQ76" s="989">
        <f>BQ72/BQ66</f>
        <v>0.028290716410386715</v>
      </c>
      <c r="BR76" s="989">
        <f>BR72/BR66</f>
        <v>0.028371336295375235</v>
      </c>
      <c r="BS76" s="97"/>
    </row>
    <row r="77" spans="1:71" s="47" customFormat="1" ht="15" hidden="1" outlineLevel="1">
      <c r="A77" s="494"/>
      <c r="B77" s="493"/>
      <c r="C77" s="989"/>
      <c r="D77" s="989"/>
      <c r="E77" s="989"/>
      <c r="F77" s="989"/>
      <c r="G77" s="989"/>
      <c r="H77" s="59"/>
      <c r="I77" s="59"/>
      <c r="J77" s="59"/>
      <c r="K77" s="59"/>
      <c r="L77" s="989"/>
      <c r="M77" s="59"/>
      <c r="N77" s="59"/>
      <c r="O77" s="59"/>
      <c r="P77" s="59"/>
      <c r="Q77" s="989"/>
      <c r="R77" s="59"/>
      <c r="S77" s="59"/>
      <c r="T77" s="59"/>
      <c r="U77" s="59"/>
      <c r="V77" s="989"/>
      <c r="W77" s="59"/>
      <c r="X77" s="59"/>
      <c r="Y77" s="59"/>
      <c r="Z77" s="59"/>
      <c r="AA77" s="989"/>
      <c r="AB77" s="59"/>
      <c r="AC77" s="59"/>
      <c r="AD77" s="59"/>
      <c r="AE77" s="59"/>
      <c r="AF77" s="989"/>
      <c r="AG77" s="59"/>
      <c r="AH77" s="59"/>
      <c r="AI77" s="59"/>
      <c r="AJ77" s="59"/>
      <c r="AK77" s="989"/>
      <c r="AL77" s="59"/>
      <c r="AM77" s="59"/>
      <c r="AN77" s="59"/>
      <c r="AO77" s="59"/>
      <c r="AP77" s="989"/>
      <c r="AQ77" s="59"/>
      <c r="AR77" s="59"/>
      <c r="AS77" s="59"/>
      <c r="AT77" s="59"/>
      <c r="AU77" s="989"/>
      <c r="AV77" s="59"/>
      <c r="AW77" s="59"/>
      <c r="AX77" s="59"/>
      <c r="AY77" s="59"/>
      <c r="AZ77" s="989"/>
      <c r="BA77" s="59"/>
      <c r="BB77" s="59"/>
      <c r="BC77" s="59"/>
      <c r="BD77" s="59"/>
      <c r="BE77" s="989"/>
      <c r="BF77" s="59"/>
      <c r="BG77" s="59"/>
      <c r="BH77" s="746"/>
      <c r="BI77" s="59"/>
      <c r="BJ77" s="989"/>
      <c r="BK77" s="59"/>
      <c r="BL77" s="59"/>
      <c r="BM77" s="59"/>
      <c r="BN77" s="59"/>
      <c r="BO77" s="989"/>
      <c r="BP77" s="989"/>
      <c r="BQ77" s="989"/>
      <c r="BR77" s="989"/>
      <c r="BS77" s="97"/>
    </row>
    <row r="78" spans="1:71" s="44" customFormat="1" ht="15" hidden="1" outlineLevel="1">
      <c r="A78" s="375" t="s">
        <v>402</v>
      </c>
      <c r="B78" s="397"/>
      <c r="C78" s="977">
        <f t="shared" si="255" ref="C78:AM78">C170</f>
        <v>-1212</v>
      </c>
      <c r="D78" s="977">
        <f t="shared" si="255"/>
        <v>-422</v>
      </c>
      <c r="E78" s="977">
        <f t="shared" si="255"/>
        <v>-1552</v>
      </c>
      <c r="F78" s="977">
        <f t="shared" si="255"/>
        <v>-349</v>
      </c>
      <c r="G78" s="977">
        <f t="shared" si="255"/>
        <v>399</v>
      </c>
      <c r="H78" s="100">
        <f t="shared" si="255"/>
        <v>-46</v>
      </c>
      <c r="I78" s="100">
        <f t="shared" si="255"/>
        <v>102</v>
      </c>
      <c r="J78" s="100">
        <f t="shared" si="255"/>
        <v>16</v>
      </c>
      <c r="K78" s="100">
        <f t="shared" si="255"/>
        <v>143</v>
      </c>
      <c r="L78" s="977">
        <f t="shared" si="255"/>
        <v>215</v>
      </c>
      <c r="M78" s="100">
        <f t="shared" si="255"/>
        <v>13</v>
      </c>
      <c r="N78" s="100">
        <f t="shared" si="255"/>
        <v>127</v>
      </c>
      <c r="O78" s="100">
        <f t="shared" si="255"/>
        <v>-114</v>
      </c>
      <c r="P78" s="100">
        <f t="shared" si="255"/>
        <v>114</v>
      </c>
      <c r="Q78" s="977">
        <f t="shared" si="255"/>
        <v>140</v>
      </c>
      <c r="R78" s="100">
        <f t="shared" si="255"/>
        <v>30</v>
      </c>
      <c r="S78" s="100">
        <f t="shared" si="255"/>
        <v>-187</v>
      </c>
      <c r="T78" s="100">
        <f t="shared" si="255"/>
        <v>-146</v>
      </c>
      <c r="U78" s="100">
        <f t="shared" si="255"/>
        <v>180</v>
      </c>
      <c r="V78" s="977">
        <f t="shared" si="255"/>
        <v>-123</v>
      </c>
      <c r="W78" s="100">
        <f t="shared" si="255"/>
        <v>-140</v>
      </c>
      <c r="X78" s="100">
        <f t="shared" si="255"/>
        <v>-56</v>
      </c>
      <c r="Y78" s="100">
        <f t="shared" si="255"/>
        <v>30</v>
      </c>
      <c r="Z78" s="100">
        <f t="shared" si="255"/>
        <v>15</v>
      </c>
      <c r="AA78" s="977">
        <f t="shared" si="255"/>
        <v>-151</v>
      </c>
      <c r="AB78" s="100">
        <f t="shared" si="255"/>
        <v>-134</v>
      </c>
      <c r="AC78" s="100">
        <f t="shared" si="255"/>
        <v>3</v>
      </c>
      <c r="AD78" s="100">
        <f t="shared" si="255"/>
        <v>56</v>
      </c>
      <c r="AE78" s="100">
        <f t="shared" si="255"/>
        <v>-355</v>
      </c>
      <c r="AF78" s="977">
        <f t="shared" si="255"/>
        <v>-430</v>
      </c>
      <c r="AG78" s="100">
        <f t="shared" si="255"/>
        <v>71</v>
      </c>
      <c r="AH78" s="100">
        <f t="shared" si="255"/>
        <v>-66</v>
      </c>
      <c r="AI78" s="100">
        <f t="shared" si="255"/>
        <v>-153</v>
      </c>
      <c r="AJ78" s="100">
        <f t="shared" si="255"/>
        <v>13</v>
      </c>
      <c r="AK78" s="977">
        <f t="shared" si="255"/>
        <v>-135</v>
      </c>
      <c r="AL78" s="100">
        <f t="shared" si="255"/>
        <v>-463</v>
      </c>
      <c r="AM78" s="100">
        <f t="shared" si="255"/>
        <v>-170</v>
      </c>
      <c r="AN78" s="100">
        <f t="shared" si="256" ref="AN78:AQ78">AN170</f>
        <v>108</v>
      </c>
      <c r="AO78" s="100">
        <f t="shared" si="256"/>
        <v>255</v>
      </c>
      <c r="AP78" s="977">
        <f t="shared" si="256"/>
        <v>-270</v>
      </c>
      <c r="AQ78" s="100">
        <f t="shared" si="256"/>
        <v>307</v>
      </c>
      <c r="AR78" s="100">
        <f t="shared" si="257" ref="AR78:AW78">AR170</f>
        <v>89</v>
      </c>
      <c r="AS78" s="100">
        <f t="shared" si="257"/>
        <v>-171</v>
      </c>
      <c r="AT78" s="100">
        <f t="shared" si="257"/>
        <v>243</v>
      </c>
      <c r="AU78" s="977">
        <f t="shared" si="257"/>
        <v>468</v>
      </c>
      <c r="AV78" s="100">
        <f t="shared" si="257"/>
        <v>122</v>
      </c>
      <c r="AW78" s="100">
        <f t="shared" si="257"/>
        <v>564</v>
      </c>
      <c r="AX78" s="100">
        <f t="shared" si="258" ref="AX78:BC78">AX170</f>
        <v>199</v>
      </c>
      <c r="AY78" s="100">
        <f t="shared" si="258"/>
        <v>-522</v>
      </c>
      <c r="AZ78" s="977">
        <f t="shared" si="258"/>
        <v>363</v>
      </c>
      <c r="BA78" s="100">
        <f t="shared" si="258"/>
        <v>123</v>
      </c>
      <c r="BB78" s="100">
        <f t="shared" si="258"/>
        <v>555</v>
      </c>
      <c r="BC78" s="100">
        <f t="shared" si="258"/>
        <v>423</v>
      </c>
      <c r="BD78" s="100">
        <f>BD170</f>
        <v>-511</v>
      </c>
      <c r="BE78" s="977">
        <f>BE170</f>
        <v>590</v>
      </c>
      <c r="BF78" s="100">
        <f>BF170</f>
        <v>951</v>
      </c>
      <c r="BG78" s="100">
        <f>BG170</f>
        <v>696</v>
      </c>
      <c r="BH78" s="741">
        <f>BH170</f>
        <v>-1408</v>
      </c>
      <c r="BI78" s="888">
        <v>20</v>
      </c>
      <c r="BJ78" s="978">
        <f>SUM(BF78,BG78,BH78,BI78)</f>
        <v>259</v>
      </c>
      <c r="BK78" s="888">
        <v>20</v>
      </c>
      <c r="BL78" s="888">
        <v>20</v>
      </c>
      <c r="BM78" s="888">
        <v>20</v>
      </c>
      <c r="BN78" s="888">
        <v>20</v>
      </c>
      <c r="BO78" s="978">
        <f>SUM(BK78,BL78,BM78,BN78)</f>
        <v>80</v>
      </c>
      <c r="BP78" s="991">
        <v>80</v>
      </c>
      <c r="BQ78" s="991">
        <v>80</v>
      </c>
      <c r="BR78" s="991">
        <v>80</v>
      </c>
      <c r="BS78" s="100"/>
    </row>
    <row r="79" spans="1:71" s="47" customFormat="1" ht="15" collapsed="1">
      <c r="A79" s="494"/>
      <c r="B79" s="493"/>
      <c r="C79" s="989"/>
      <c r="D79" s="989"/>
      <c r="E79" s="989"/>
      <c r="F79" s="989"/>
      <c r="G79" s="989"/>
      <c r="H79" s="59"/>
      <c r="I79" s="59"/>
      <c r="J79" s="59"/>
      <c r="K79" s="59"/>
      <c r="L79" s="989"/>
      <c r="M79" s="59"/>
      <c r="N79" s="59"/>
      <c r="O79" s="59"/>
      <c r="P79" s="59"/>
      <c r="Q79" s="989"/>
      <c r="R79" s="59"/>
      <c r="S79" s="59"/>
      <c r="T79" s="59"/>
      <c r="U79" s="59"/>
      <c r="V79" s="989"/>
      <c r="W79" s="59"/>
      <c r="X79" s="59"/>
      <c r="Y79" s="59"/>
      <c r="Z79" s="59"/>
      <c r="AA79" s="989"/>
      <c r="AB79" s="59"/>
      <c r="AC79" s="59"/>
      <c r="AD79" s="59"/>
      <c r="AE79" s="59"/>
      <c r="AF79" s="989"/>
      <c r="AG79" s="59"/>
      <c r="AH79" s="59"/>
      <c r="AI79" s="59"/>
      <c r="AJ79" s="59"/>
      <c r="AK79" s="989"/>
      <c r="AL79" s="59"/>
      <c r="AM79" s="59"/>
      <c r="AN79" s="59"/>
      <c r="AO79" s="59"/>
      <c r="AP79" s="989"/>
      <c r="AQ79" s="59"/>
      <c r="AR79" s="59"/>
      <c r="AS79" s="59"/>
      <c r="AT79" s="59"/>
      <c r="AU79" s="989"/>
      <c r="AV79" s="59"/>
      <c r="AW79" s="59"/>
      <c r="AX79" s="59"/>
      <c r="AY79" s="59"/>
      <c r="AZ79" s="989"/>
      <c r="BA79" s="59"/>
      <c r="BB79" s="59"/>
      <c r="BC79" s="59"/>
      <c r="BD79" s="59"/>
      <c r="BE79" s="989"/>
      <c r="BF79" s="59"/>
      <c r="BG79" s="59"/>
      <c r="BH79" s="746"/>
      <c r="BI79" s="59"/>
      <c r="BJ79" s="989"/>
      <c r="BK79" s="59"/>
      <c r="BL79" s="59"/>
      <c r="BM79" s="59"/>
      <c r="BN79" s="59"/>
      <c r="BO79" s="989"/>
      <c r="BP79" s="989"/>
      <c r="BQ79" s="989"/>
      <c r="BR79" s="989"/>
      <c r="BS79" s="97"/>
    </row>
    <row r="80" spans="1:71" s="43" customFormat="1" ht="15">
      <c r="A80" s="812" t="s">
        <v>413</v>
      </c>
      <c r="B80" s="812"/>
      <c r="C80" s="99"/>
      <c r="D80" s="99"/>
      <c r="E80" s="99"/>
      <c r="F80" s="99"/>
      <c r="G80" s="99"/>
      <c r="H80" s="99"/>
      <c r="I80" s="99"/>
      <c r="J80" s="99"/>
      <c r="K80" s="99"/>
      <c r="L80" s="99"/>
      <c r="M80" s="99"/>
      <c r="N80" s="99"/>
      <c r="O80" s="99"/>
      <c r="P80" s="99"/>
      <c r="Q80" s="99"/>
      <c r="R80" s="99"/>
      <c r="S80" s="99"/>
      <c r="T80" s="99"/>
      <c r="U80" s="99"/>
      <c r="V80" s="99"/>
      <c r="W80" s="99"/>
      <c r="X80" s="99"/>
      <c r="Y80" s="99"/>
      <c r="Z80" s="99"/>
      <c r="AA80" s="99"/>
      <c r="AB80" s="99"/>
      <c r="AC80" s="99"/>
      <c r="AD80" s="99"/>
      <c r="AE80" s="99"/>
      <c r="AF80" s="99"/>
      <c r="AG80" s="99"/>
      <c r="AH80" s="99"/>
      <c r="AI80" s="99"/>
      <c r="AJ80" s="99"/>
      <c r="AK80" s="99"/>
      <c r="AL80" s="99"/>
      <c r="AM80" s="99"/>
      <c r="AN80" s="99"/>
      <c r="AO80" s="99"/>
      <c r="AP80" s="99"/>
      <c r="AQ80" s="99"/>
      <c r="AR80" s="99"/>
      <c r="AS80" s="99"/>
      <c r="AT80" s="99"/>
      <c r="AU80" s="99"/>
      <c r="AV80" s="99"/>
      <c r="AW80" s="99"/>
      <c r="AX80" s="99"/>
      <c r="AY80" s="99"/>
      <c r="AZ80" s="99"/>
      <c r="BA80" s="99"/>
      <c r="BB80" s="99"/>
      <c r="BC80" s="99"/>
      <c r="BD80" s="99"/>
      <c r="BE80" s="99"/>
      <c r="BF80" s="99"/>
      <c r="BG80" s="99"/>
      <c r="BH80" s="597"/>
      <c r="BI80" s="99"/>
      <c r="BJ80" s="99"/>
      <c r="BK80" s="99"/>
      <c r="BL80" s="99"/>
      <c r="BM80" s="99"/>
      <c r="BN80" s="99"/>
      <c r="BO80" s="99"/>
      <c r="BP80" s="99"/>
      <c r="BQ80" s="99"/>
      <c r="BR80" s="99"/>
      <c r="BS80" s="475"/>
    </row>
    <row r="81" spans="1:71" s="224" customFormat="1" ht="15" hidden="1" outlineLevel="1">
      <c r="A81" s="362" t="s">
        <v>353</v>
      </c>
      <c r="B81" s="389"/>
      <c r="C81" s="992">
        <v>12178</v>
      </c>
      <c r="D81" s="992">
        <v>13487</v>
      </c>
      <c r="E81" s="992">
        <v>15619</v>
      </c>
      <c r="F81" s="992">
        <v>17151</v>
      </c>
      <c r="G81" s="992">
        <v>14982</v>
      </c>
      <c r="H81" s="891">
        <v>3560</v>
      </c>
      <c r="I81" s="891">
        <v>3578</v>
      </c>
      <c r="J81" s="891">
        <v>3534</v>
      </c>
      <c r="K81" s="176">
        <f>L81-SUM(H81,I81,J81)</f>
        <v>3189</v>
      </c>
      <c r="L81" s="992">
        <v>13861</v>
      </c>
      <c r="M81" s="891">
        <v>3078</v>
      </c>
      <c r="N81" s="891">
        <v>2978</v>
      </c>
      <c r="O81" s="891">
        <v>2981</v>
      </c>
      <c r="P81" s="176">
        <f>Q81-SUM(M81,N81,O81)</f>
        <v>3009</v>
      </c>
      <c r="Q81" s="992">
        <v>12046</v>
      </c>
      <c r="R81" s="891">
        <v>3179</v>
      </c>
      <c r="S81" s="891">
        <v>3402</v>
      </c>
      <c r="T81" s="891">
        <v>3596</v>
      </c>
      <c r="U81" s="176">
        <f>V81-SUM(R81,S81,T81)</f>
        <v>3360</v>
      </c>
      <c r="V81" s="992">
        <v>13537</v>
      </c>
      <c r="W81" s="891">
        <v>3194</v>
      </c>
      <c r="X81" s="891">
        <v>3222</v>
      </c>
      <c r="Y81" s="891">
        <v>3200</v>
      </c>
      <c r="Z81" s="176">
        <f>AA81-SUM(W81,X81,Y81)</f>
        <v>3136</v>
      </c>
      <c r="AA81" s="992">
        <v>12752</v>
      </c>
      <c r="AB81" s="891">
        <v>3263</v>
      </c>
      <c r="AC81" s="891">
        <v>3227</v>
      </c>
      <c r="AD81" s="891">
        <v>3159</v>
      </c>
      <c r="AE81" s="176">
        <f>AF81-SUM(AB81,AC81,AD81)</f>
        <v>3113</v>
      </c>
      <c r="AF81" s="992">
        <v>12762</v>
      </c>
      <c r="AG81" s="891">
        <v>3180</v>
      </c>
      <c r="AH81" s="891">
        <v>3172</v>
      </c>
      <c r="AI81" s="891">
        <v>3241</v>
      </c>
      <c r="AJ81" s="176">
        <f>AK81-SUM(AG81,AH81,AI81)</f>
        <v>3179</v>
      </c>
      <c r="AK81" s="992">
        <v>12772</v>
      </c>
      <c r="AL81" s="891">
        <v>3150</v>
      </c>
      <c r="AM81" s="891">
        <v>3158</v>
      </c>
      <c r="AN81" s="891">
        <v>3168</v>
      </c>
      <c r="AO81" s="176">
        <f>AP81-SUM(AL81,AM81,AN81)</f>
        <v>3194</v>
      </c>
      <c r="AP81" s="992">
        <v>12670</v>
      </c>
      <c r="AQ81" s="891">
        <v>3123</v>
      </c>
      <c r="AR81" s="891">
        <v>2987</v>
      </c>
      <c r="AS81" s="891">
        <v>2934</v>
      </c>
      <c r="AT81" s="891">
        <v>2808</v>
      </c>
      <c r="AU81" s="992">
        <v>11853</v>
      </c>
      <c r="AV81" s="891">
        <v>2625</v>
      </c>
      <c r="AW81" s="891">
        <v>2334</v>
      </c>
      <c r="AX81" s="891">
        <v>2125</v>
      </c>
      <c r="AY81" s="891">
        <v>2102</v>
      </c>
      <c r="AZ81" s="992">
        <v>9186</v>
      </c>
      <c r="BA81" s="891">
        <v>2170</v>
      </c>
      <c r="BB81" s="891">
        <v>2064</v>
      </c>
      <c r="BC81" s="891">
        <v>1973</v>
      </c>
      <c r="BD81" s="891">
        <v>1840</v>
      </c>
      <c r="BE81" s="992">
        <v>8047</v>
      </c>
      <c r="BF81" s="891">
        <v>1816</v>
      </c>
      <c r="BG81" s="891">
        <v>1715</v>
      </c>
      <c r="BH81" s="892">
        <v>1709</v>
      </c>
      <c r="BI81" s="176">
        <f>BD81*(1+BI91)</f>
        <v>2208</v>
      </c>
      <c r="BJ81" s="971">
        <f>SUM(BF81,BG81,BH81,BI81)</f>
        <v>7448</v>
      </c>
      <c r="BK81" s="176">
        <f>BF81*(1+BK91)</f>
        <v>1725.1999999999998</v>
      </c>
      <c r="BL81" s="176">
        <f>BG81*(1+BL91)</f>
        <v>1732.15</v>
      </c>
      <c r="BM81" s="176">
        <f>BH81*(1+BM91)</f>
        <v>1965.35</v>
      </c>
      <c r="BN81" s="176">
        <f>BI81*(1+BN91)</f>
        <v>2450.88</v>
      </c>
      <c r="BO81" s="971">
        <f>SUM(BK81,BL81,BM81,BN81)</f>
        <v>7873.58</v>
      </c>
      <c r="BP81" s="971">
        <f>BO81*(1+BP91)</f>
        <v>7952.3158000000003</v>
      </c>
      <c r="BQ81" s="971">
        <f>BP81*(1+BQ91)</f>
        <v>8031.8389580000003</v>
      </c>
      <c r="BR81" s="971">
        <f>BQ81*(1+BR91)</f>
        <v>8112.1573475800005</v>
      </c>
      <c r="BS81" s="229"/>
    </row>
    <row r="82" spans="1:71" s="224" customFormat="1" ht="15" hidden="1" outlineLevel="1">
      <c r="A82" s="362" t="s">
        <v>354</v>
      </c>
      <c r="B82" s="389"/>
      <c r="C82" s="992">
        <v>2265</v>
      </c>
      <c r="D82" s="992">
        <v>2453</v>
      </c>
      <c r="E82" s="992">
        <v>2688</v>
      </c>
      <c r="F82" s="992">
        <v>2845</v>
      </c>
      <c r="G82" s="992">
        <v>2651</v>
      </c>
      <c r="H82" s="891">
        <v>663</v>
      </c>
      <c r="I82" s="891">
        <v>680</v>
      </c>
      <c r="J82" s="891">
        <v>676</v>
      </c>
      <c r="K82" s="176">
        <f>L82-SUM(H82,I82,J82)</f>
        <v>643</v>
      </c>
      <c r="L82" s="992">
        <v>2662</v>
      </c>
      <c r="M82" s="891">
        <v>613</v>
      </c>
      <c r="N82" s="891">
        <v>605</v>
      </c>
      <c r="O82" s="891">
        <v>606</v>
      </c>
      <c r="P82" s="176">
        <f>Q82-SUM(M82,N82,O82)</f>
        <v>612</v>
      </c>
      <c r="Q82" s="992">
        <v>2436</v>
      </c>
      <c r="R82" s="891">
        <v>590</v>
      </c>
      <c r="S82" s="891">
        <v>605</v>
      </c>
      <c r="T82" s="891">
        <v>607</v>
      </c>
      <c r="U82" s="176">
        <f>V82-SUM(R82,S82,T82)</f>
        <v>566</v>
      </c>
      <c r="V82" s="992">
        <v>2368</v>
      </c>
      <c r="W82" s="891">
        <v>557</v>
      </c>
      <c r="X82" s="891">
        <v>557</v>
      </c>
      <c r="Y82" s="891">
        <v>561</v>
      </c>
      <c r="Z82" s="176">
        <f>AA82-SUM(W82,X82,Y82)</f>
        <v>560</v>
      </c>
      <c r="AA82" s="992">
        <v>2235</v>
      </c>
      <c r="AB82" s="891">
        <v>588</v>
      </c>
      <c r="AC82" s="891">
        <v>606</v>
      </c>
      <c r="AD82" s="891">
        <v>606</v>
      </c>
      <c r="AE82" s="176">
        <f>AF82-SUM(AB82,AC82,AD82)</f>
        <v>603</v>
      </c>
      <c r="AF82" s="992">
        <v>2403</v>
      </c>
      <c r="AG82" s="891">
        <v>672</v>
      </c>
      <c r="AH82" s="891">
        <v>609</v>
      </c>
      <c r="AI82" s="891">
        <v>659</v>
      </c>
      <c r="AJ82" s="176">
        <f>AK82-SUM(AG82,AH82,AI82)</f>
        <v>556</v>
      </c>
      <c r="AK82" s="992">
        <v>2496</v>
      </c>
      <c r="AL82" s="891">
        <v>642</v>
      </c>
      <c r="AM82" s="891">
        <v>633</v>
      </c>
      <c r="AN82" s="891">
        <v>663</v>
      </c>
      <c r="AO82" s="176">
        <f>AP82-SUM(AL82,AM82,AN82)</f>
        <v>721</v>
      </c>
      <c r="AP82" s="992">
        <v>2659</v>
      </c>
      <c r="AQ82" s="891">
        <v>705</v>
      </c>
      <c r="AR82" s="891">
        <v>792</v>
      </c>
      <c r="AS82" s="891">
        <v>763</v>
      </c>
      <c r="AT82" s="176">
        <f>AU82-SUM(AQ82,AR82,AS82)</f>
        <v>771</v>
      </c>
      <c r="AU82" s="992">
        <v>3031</v>
      </c>
      <c r="AV82" s="891">
        <v>680</v>
      </c>
      <c r="AW82" s="891">
        <v>723</v>
      </c>
      <c r="AX82" s="891">
        <v>663</v>
      </c>
      <c r="AY82" s="891">
        <v>604</v>
      </c>
      <c r="AZ82" s="992">
        <v>2669</v>
      </c>
      <c r="BA82" s="891">
        <v>611</v>
      </c>
      <c r="BB82" s="891">
        <v>637</v>
      </c>
      <c r="BC82" s="891">
        <v>679</v>
      </c>
      <c r="BD82" s="891">
        <v>655</v>
      </c>
      <c r="BE82" s="992">
        <v>2582</v>
      </c>
      <c r="BF82" s="891">
        <v>648</v>
      </c>
      <c r="BG82" s="891">
        <v>725</v>
      </c>
      <c r="BH82" s="892">
        <v>662</v>
      </c>
      <c r="BI82" s="176">
        <f>BI105*BI108/(BJ$3/BI$3)</f>
        <v>924.7623573770494</v>
      </c>
      <c r="BJ82" s="971">
        <f>SUM(BF82,BG82,BH82,BI82)</f>
        <v>2959.7623573770493</v>
      </c>
      <c r="BK82" s="176">
        <f>BK105*BK108/(BO$3/BK$3)</f>
        <v>516.36971835616453</v>
      </c>
      <c r="BL82" s="176">
        <f>BL105*BL108/(BO$3/BL$3)</f>
        <v>499.88528876712337</v>
      </c>
      <c r="BM82" s="176">
        <f>BM105*BM108/(BO$3/BM$3)</f>
        <v>512.66257446575344</v>
      </c>
      <c r="BN82" s="176">
        <f>BN105*BN108/(BO$3/BN$3)</f>
        <v>540.48106967671231</v>
      </c>
      <c r="BO82" s="971">
        <f>SUM(BK82,BL82,BM82,BN82)</f>
        <v>2069.3986512657534</v>
      </c>
      <c r="BP82" s="971">
        <f>BP105*BP108</f>
        <v>2176.8178917599998</v>
      </c>
      <c r="BQ82" s="971">
        <f>BQ105*BQ108</f>
        <v>2198.5860706776002</v>
      </c>
      <c r="BR82" s="971">
        <f>BR105*BR108</f>
        <v>2220.5719313843761</v>
      </c>
      <c r="BS82" s="229"/>
    </row>
    <row r="83" spans="1:71" s="224" customFormat="1" ht="15" hidden="1" outlineLevel="1">
      <c r="A83" s="362" t="s">
        <v>355</v>
      </c>
      <c r="B83" s="389"/>
      <c r="C83" s="992">
        <v>43</v>
      </c>
      <c r="D83" s="992">
        <v>37</v>
      </c>
      <c r="E83" s="992">
        <v>46</v>
      </c>
      <c r="F83" s="992">
        <v>57</v>
      </c>
      <c r="G83" s="992">
        <v>55</v>
      </c>
      <c r="H83" s="891">
        <v>8</v>
      </c>
      <c r="I83" s="891">
        <v>8</v>
      </c>
      <c r="J83" s="891">
        <v>9</v>
      </c>
      <c r="K83" s="176">
        <f>L83-SUM(H83,I83,J83)</f>
        <v>7</v>
      </c>
      <c r="L83" s="992">
        <v>32</v>
      </c>
      <c r="M83" s="891">
        <v>8</v>
      </c>
      <c r="N83" s="891">
        <v>7</v>
      </c>
      <c r="O83" s="891">
        <v>7</v>
      </c>
      <c r="P83" s="176">
        <f>Q83-SUM(M83,N83,O83)</f>
        <v>9</v>
      </c>
      <c r="Q83" s="992">
        <v>31</v>
      </c>
      <c r="R83" s="891">
        <v>8</v>
      </c>
      <c r="S83" s="891">
        <v>11</v>
      </c>
      <c r="T83" s="891">
        <v>10</v>
      </c>
      <c r="U83" s="176">
        <f>V83-SUM(R83,S83,T83)</f>
        <v>11</v>
      </c>
      <c r="V83" s="992">
        <v>40</v>
      </c>
      <c r="W83" s="891">
        <v>10</v>
      </c>
      <c r="X83" s="891">
        <v>10</v>
      </c>
      <c r="Y83" s="891">
        <v>11</v>
      </c>
      <c r="Z83" s="176">
        <f>AA83-SUM(W83,X83,Y83)</f>
        <v>10</v>
      </c>
      <c r="AA83" s="992">
        <v>41</v>
      </c>
      <c r="AB83" s="891">
        <v>12</v>
      </c>
      <c r="AC83" s="891">
        <v>11</v>
      </c>
      <c r="AD83" s="891">
        <v>10</v>
      </c>
      <c r="AE83" s="176">
        <f>AF83-SUM(AB83,AC83,AD83)</f>
        <v>8</v>
      </c>
      <c r="AF83" s="992">
        <v>41</v>
      </c>
      <c r="AG83" s="891">
        <v>12</v>
      </c>
      <c r="AH83" s="891">
        <v>11</v>
      </c>
      <c r="AI83" s="891">
        <v>12</v>
      </c>
      <c r="AJ83" s="176">
        <f>AK83-SUM(AG83,AH83,AI83)</f>
        <v>10</v>
      </c>
      <c r="AK83" s="992">
        <v>45</v>
      </c>
      <c r="AL83" s="891">
        <v>11</v>
      </c>
      <c r="AM83" s="891">
        <v>12</v>
      </c>
      <c r="AN83" s="891">
        <v>11</v>
      </c>
      <c r="AO83" s="891">
        <v>9</v>
      </c>
      <c r="AP83" s="992">
        <v>42</v>
      </c>
      <c r="AQ83" s="891">
        <v>13</v>
      </c>
      <c r="AR83" s="891">
        <v>10</v>
      </c>
      <c r="AS83" s="891">
        <v>10</v>
      </c>
      <c r="AT83" s="891">
        <v>10</v>
      </c>
      <c r="AU83" s="992">
        <v>41</v>
      </c>
      <c r="AV83" s="891">
        <v>9</v>
      </c>
      <c r="AW83" s="891">
        <v>9</v>
      </c>
      <c r="AX83" s="891">
        <v>9</v>
      </c>
      <c r="AY83" s="891">
        <v>7</v>
      </c>
      <c r="AZ83" s="992">
        <v>35</v>
      </c>
      <c r="BA83" s="891">
        <v>9</v>
      </c>
      <c r="BB83" s="891">
        <v>9</v>
      </c>
      <c r="BC83" s="891">
        <v>8</v>
      </c>
      <c r="BD83" s="891">
        <v>8</v>
      </c>
      <c r="BE83" s="992">
        <v>35</v>
      </c>
      <c r="BF83" s="891">
        <v>9</v>
      </c>
      <c r="BG83" s="891">
        <v>7</v>
      </c>
      <c r="BH83" s="892">
        <v>7</v>
      </c>
      <c r="BI83" s="891">
        <v>7</v>
      </c>
      <c r="BJ83" s="971">
        <f>SUM(BF83,BG83,BH83,BI83)</f>
        <v>30</v>
      </c>
      <c r="BK83" s="891">
        <v>11</v>
      </c>
      <c r="BL83" s="891">
        <v>11</v>
      </c>
      <c r="BM83" s="891">
        <v>11</v>
      </c>
      <c r="BN83" s="891">
        <v>11</v>
      </c>
      <c r="BO83" s="971">
        <f>SUM(BK83,BL83,BM83,BN83)</f>
        <v>44</v>
      </c>
      <c r="BP83" s="992">
        <v>44</v>
      </c>
      <c r="BQ83" s="992">
        <v>44</v>
      </c>
      <c r="BR83" s="992">
        <v>44</v>
      </c>
      <c r="BS83" s="229"/>
    </row>
    <row r="84" spans="1:71" s="44" customFormat="1" ht="15" hidden="1" outlineLevel="1">
      <c r="A84" s="366" t="s">
        <v>356</v>
      </c>
      <c r="B84" s="386"/>
      <c r="C84" s="982">
        <f t="shared" si="259" ref="C84:AN84">SUM(C81:C83)</f>
        <v>14486</v>
      </c>
      <c r="D84" s="982">
        <f t="shared" si="259"/>
        <v>15977</v>
      </c>
      <c r="E84" s="982">
        <f t="shared" si="259"/>
        <v>18353</v>
      </c>
      <c r="F84" s="982">
        <f t="shared" si="259"/>
        <v>20053</v>
      </c>
      <c r="G84" s="982">
        <f t="shared" si="259"/>
        <v>17688</v>
      </c>
      <c r="H84" s="25">
        <f t="shared" si="259"/>
        <v>4231</v>
      </c>
      <c r="I84" s="25">
        <f t="shared" si="259"/>
        <v>4266</v>
      </c>
      <c r="J84" s="25">
        <f t="shared" si="259"/>
        <v>4219</v>
      </c>
      <c r="K84" s="25">
        <f t="shared" si="259"/>
        <v>3839</v>
      </c>
      <c r="L84" s="982">
        <f t="shared" si="259"/>
        <v>16555</v>
      </c>
      <c r="M84" s="25">
        <f t="shared" si="259"/>
        <v>3699</v>
      </c>
      <c r="N84" s="25">
        <f t="shared" si="259"/>
        <v>3590</v>
      </c>
      <c r="O84" s="25">
        <f t="shared" si="259"/>
        <v>3594</v>
      </c>
      <c r="P84" s="25">
        <f t="shared" si="259"/>
        <v>3630</v>
      </c>
      <c r="Q84" s="982">
        <f t="shared" si="259"/>
        <v>14513</v>
      </c>
      <c r="R84" s="25">
        <f t="shared" si="259"/>
        <v>3777</v>
      </c>
      <c r="S84" s="25">
        <f t="shared" si="259"/>
        <v>4018</v>
      </c>
      <c r="T84" s="25">
        <f t="shared" si="259"/>
        <v>4213</v>
      </c>
      <c r="U84" s="25">
        <f t="shared" si="259"/>
        <v>3937</v>
      </c>
      <c r="V84" s="982">
        <f t="shared" si="259"/>
        <v>15945</v>
      </c>
      <c r="W84" s="25">
        <f t="shared" si="259"/>
        <v>3761</v>
      </c>
      <c r="X84" s="25">
        <f t="shared" si="259"/>
        <v>3789</v>
      </c>
      <c r="Y84" s="25">
        <f t="shared" si="259"/>
        <v>3772</v>
      </c>
      <c r="Z84" s="25">
        <f t="shared" si="259"/>
        <v>3706</v>
      </c>
      <c r="AA84" s="982">
        <f t="shared" si="259"/>
        <v>15028</v>
      </c>
      <c r="AB84" s="25">
        <f t="shared" si="259"/>
        <v>3863</v>
      </c>
      <c r="AC84" s="25">
        <f t="shared" si="259"/>
        <v>3844</v>
      </c>
      <c r="AD84" s="25">
        <f t="shared" si="259"/>
        <v>3775</v>
      </c>
      <c r="AE84" s="25">
        <f t="shared" si="259"/>
        <v>3724</v>
      </c>
      <c r="AF84" s="982">
        <f t="shared" si="259"/>
        <v>15206</v>
      </c>
      <c r="AG84" s="25">
        <f t="shared" si="259"/>
        <v>3864</v>
      </c>
      <c r="AH84" s="25">
        <f t="shared" si="259"/>
        <v>3792</v>
      </c>
      <c r="AI84" s="25">
        <f t="shared" si="259"/>
        <v>3912</v>
      </c>
      <c r="AJ84" s="25">
        <f t="shared" si="259"/>
        <v>3745</v>
      </c>
      <c r="AK84" s="982">
        <f t="shared" si="259"/>
        <v>15313</v>
      </c>
      <c r="AL84" s="111">
        <f t="shared" si="259"/>
        <v>3803</v>
      </c>
      <c r="AM84" s="25">
        <f t="shared" si="259"/>
        <v>3803</v>
      </c>
      <c r="AN84" s="25">
        <f t="shared" si="259"/>
        <v>3842</v>
      </c>
      <c r="AO84" s="893">
        <v>3923</v>
      </c>
      <c r="AP84" s="982">
        <f>SUM(AP81:AP83)</f>
        <v>15371</v>
      </c>
      <c r="AQ84" s="111">
        <f>SUM(AQ81:AQ83)</f>
        <v>3841</v>
      </c>
      <c r="AR84" s="25">
        <f>SUM(AR81:AR83)</f>
        <v>3789</v>
      </c>
      <c r="AS84" s="25">
        <f>SUM(AS81:AS83)</f>
        <v>3707</v>
      </c>
      <c r="AT84" s="25">
        <f>SUM(AT81:AT83)</f>
        <v>3589</v>
      </c>
      <c r="AU84" s="982">
        <f t="shared" si="260" ref="AU84">SUM(AU81:AU83)</f>
        <v>14925</v>
      </c>
      <c r="AV84" s="111">
        <f t="shared" si="261" ref="AV84:AZ84">SUM(AV81:AV83)</f>
        <v>3314</v>
      </c>
      <c r="AW84" s="25">
        <f t="shared" si="261"/>
        <v>3066</v>
      </c>
      <c r="AX84" s="25">
        <f t="shared" si="261"/>
        <v>2797</v>
      </c>
      <c r="AY84" s="25">
        <f t="shared" si="261"/>
        <v>2713</v>
      </c>
      <c r="AZ84" s="982">
        <f t="shared" si="261"/>
        <v>11890</v>
      </c>
      <c r="BA84" s="111">
        <f t="shared" si="262" ref="BA84:BR84">SUM(BA81:BA83)</f>
        <v>2790</v>
      </c>
      <c r="BB84" s="25">
        <f t="shared" si="262"/>
        <v>2710</v>
      </c>
      <c r="BC84" s="25">
        <f t="shared" si="262"/>
        <v>2660</v>
      </c>
      <c r="BD84" s="25">
        <f t="shared" si="262"/>
        <v>2503</v>
      </c>
      <c r="BE84" s="982">
        <f t="shared" si="262"/>
        <v>10664</v>
      </c>
      <c r="BF84" s="111">
        <f>SUM(BF81:BF83)</f>
        <v>2473</v>
      </c>
      <c r="BG84" s="25">
        <f>SUM(BG81:BG83)</f>
        <v>2447</v>
      </c>
      <c r="BH84" s="749">
        <f>SUM(BH81:BH83)</f>
        <v>2378</v>
      </c>
      <c r="BI84" s="25">
        <f t="shared" si="262"/>
        <v>3139.7623573770493</v>
      </c>
      <c r="BJ84" s="982">
        <f t="shared" si="262"/>
        <v>10437.762357377049</v>
      </c>
      <c r="BK84" s="25">
        <f t="shared" si="262"/>
        <v>2252.5697183561642</v>
      </c>
      <c r="BL84" s="25">
        <f t="shared" si="262"/>
        <v>2243.0352887671233</v>
      </c>
      <c r="BM84" s="25">
        <f t="shared" si="262"/>
        <v>2489.0125744657535</v>
      </c>
      <c r="BN84" s="25">
        <f t="shared" si="262"/>
        <v>3002.3610696767123</v>
      </c>
      <c r="BO84" s="982">
        <f t="shared" si="262"/>
        <v>9986.9786512657538</v>
      </c>
      <c r="BP84" s="982">
        <f t="shared" si="262"/>
        <v>10173.13369176</v>
      </c>
      <c r="BQ84" s="982">
        <f t="shared" si="262"/>
        <v>10274.4250286776</v>
      </c>
      <c r="BR84" s="982">
        <f t="shared" si="262"/>
        <v>10376.729278964376</v>
      </c>
      <c r="BS84" s="100"/>
    </row>
    <row r="85" spans="1:71" s="224" customFormat="1" ht="15" hidden="1" outlineLevel="1">
      <c r="A85" s="362" t="s">
        <v>357</v>
      </c>
      <c r="B85" s="389"/>
      <c r="C85" s="992">
        <v>8746</v>
      </c>
      <c r="D85" s="992">
        <v>9553</v>
      </c>
      <c r="E85" s="992">
        <v>11037</v>
      </c>
      <c r="F85" s="992">
        <v>12496</v>
      </c>
      <c r="G85" s="992">
        <v>10924</v>
      </c>
      <c r="H85" s="891">
        <v>2534</v>
      </c>
      <c r="I85" s="891">
        <v>2585</v>
      </c>
      <c r="J85" s="891">
        <v>2633</v>
      </c>
      <c r="K85" s="176">
        <f>L85-SUM(H85,I85,J85)</f>
        <v>2332</v>
      </c>
      <c r="L85" s="992">
        <v>10084</v>
      </c>
      <c r="M85" s="891">
        <v>2228</v>
      </c>
      <c r="N85" s="891">
        <v>2170</v>
      </c>
      <c r="O85" s="891">
        <v>2139</v>
      </c>
      <c r="P85" s="176">
        <f>Q85-SUM(M85,N85,O85)</f>
        <v>2168</v>
      </c>
      <c r="Q85" s="992">
        <v>8705</v>
      </c>
      <c r="R85" s="891">
        <v>2283</v>
      </c>
      <c r="S85" s="891">
        <v>2455</v>
      </c>
      <c r="T85" s="891">
        <v>2603</v>
      </c>
      <c r="U85" s="176">
        <f>V85-SUM(R85,S85,T85)</f>
        <v>2487</v>
      </c>
      <c r="V85" s="992">
        <v>9828</v>
      </c>
      <c r="W85" s="891">
        <v>2288</v>
      </c>
      <c r="X85" s="891">
        <v>2272</v>
      </c>
      <c r="Y85" s="891">
        <v>2300</v>
      </c>
      <c r="Z85" s="176">
        <f>AA85-SUM(W85,X85,Y85)</f>
        <v>2227</v>
      </c>
      <c r="AA85" s="992">
        <v>9087</v>
      </c>
      <c r="AB85" s="891">
        <v>2294</v>
      </c>
      <c r="AC85" s="891">
        <v>2237</v>
      </c>
      <c r="AD85" s="891">
        <v>2232</v>
      </c>
      <c r="AE85" s="176">
        <f>AF85-SUM(AB85,AC85,AD85)</f>
        <v>2150</v>
      </c>
      <c r="AF85" s="992">
        <v>8913</v>
      </c>
      <c r="AG85" s="891">
        <v>2199</v>
      </c>
      <c r="AH85" s="891">
        <v>2185</v>
      </c>
      <c r="AI85" s="891">
        <v>2268</v>
      </c>
      <c r="AJ85" s="176">
        <f>AK85-SUM(AG85,AH85,AI85)</f>
        <v>2225</v>
      </c>
      <c r="AK85" s="992">
        <v>8877</v>
      </c>
      <c r="AL85" s="891">
        <v>2186</v>
      </c>
      <c r="AM85" s="891">
        <v>2205</v>
      </c>
      <c r="AN85" s="891">
        <v>2259</v>
      </c>
      <c r="AO85" s="891">
        <v>2200</v>
      </c>
      <c r="AP85" s="992">
        <v>8851</v>
      </c>
      <c r="AQ85" s="891">
        <v>2135</v>
      </c>
      <c r="AR85" s="891">
        <v>1998</v>
      </c>
      <c r="AS85" s="891">
        <v>1938</v>
      </c>
      <c r="AT85" s="891">
        <v>1891</v>
      </c>
      <c r="AU85" s="992">
        <v>7963</v>
      </c>
      <c r="AV85" s="891">
        <v>1779</v>
      </c>
      <c r="AW85" s="891">
        <v>1583</v>
      </c>
      <c r="AX85" s="891">
        <v>1420</v>
      </c>
      <c r="AY85" s="891">
        <v>1408</v>
      </c>
      <c r="AZ85" s="992">
        <v>6191</v>
      </c>
      <c r="BA85" s="891">
        <v>1453</v>
      </c>
      <c r="BB85" s="891">
        <v>1358</v>
      </c>
      <c r="BC85" s="891">
        <v>1286</v>
      </c>
      <c r="BD85" s="891">
        <v>1216</v>
      </c>
      <c r="BE85" s="992">
        <v>5313</v>
      </c>
      <c r="BF85" s="891">
        <v>1217</v>
      </c>
      <c r="BG85" s="891">
        <v>1148</v>
      </c>
      <c r="BH85" s="892">
        <v>828</v>
      </c>
      <c r="BI85" s="176">
        <f t="shared" si="263" ref="BI85:BI88">BI$84*BI93</f>
        <v>1821.0621672786885</v>
      </c>
      <c r="BJ85" s="971">
        <f>SUM(BF85,BG85,BH85,BI85)</f>
        <v>5014.0621672786883</v>
      </c>
      <c r="BK85" s="176">
        <f t="shared" si="264" ref="BK85:BN88">BK$84*BK93</f>
        <v>1216.3876479123287</v>
      </c>
      <c r="BL85" s="176">
        <f t="shared" si="264"/>
        <v>1233.6694088219178</v>
      </c>
      <c r="BM85" s="176">
        <f t="shared" si="264"/>
        <v>1368.9569159561645</v>
      </c>
      <c r="BN85" s="176">
        <f t="shared" si="264"/>
        <v>1651.2985883221918</v>
      </c>
      <c r="BO85" s="971">
        <f>SUM(BK85,BL85,BM85,BN85)</f>
        <v>5470.3125610126026</v>
      </c>
      <c r="BP85" s="971">
        <f t="shared" si="265" ref="BP85:BR88">BP$84*BP93</f>
        <v>5595.2235304680007</v>
      </c>
      <c r="BQ85" s="971">
        <f t="shared" si="265"/>
        <v>5650.933765772681</v>
      </c>
      <c r="BR85" s="971">
        <f t="shared" si="265"/>
        <v>5707.2011034304078</v>
      </c>
      <c r="BS85" s="229"/>
    </row>
    <row r="86" spans="1:71" s="224" customFormat="1" ht="15" hidden="1" outlineLevel="1">
      <c r="A86" s="362" t="s">
        <v>358</v>
      </c>
      <c r="B86" s="389"/>
      <c r="C86" s="992">
        <v>523</v>
      </c>
      <c r="D86" s="992">
        <v>597</v>
      </c>
      <c r="E86" s="992">
        <v>650</v>
      </c>
      <c r="F86" s="992">
        <v>716</v>
      </c>
      <c r="G86" s="992">
        <v>641</v>
      </c>
      <c r="H86" s="891">
        <v>164</v>
      </c>
      <c r="I86" s="891">
        <v>168</v>
      </c>
      <c r="J86" s="891">
        <v>159</v>
      </c>
      <c r="K86" s="176">
        <f>L86-SUM(H86,I86,J86)</f>
        <v>158</v>
      </c>
      <c r="L86" s="992">
        <v>649</v>
      </c>
      <c r="M86" s="891">
        <v>149</v>
      </c>
      <c r="N86" s="891">
        <v>141</v>
      </c>
      <c r="O86" s="891">
        <v>144</v>
      </c>
      <c r="P86" s="176">
        <f>Q86-SUM(M86,N86,O86)</f>
        <v>144</v>
      </c>
      <c r="Q86" s="992">
        <v>578</v>
      </c>
      <c r="R86" s="891">
        <v>151</v>
      </c>
      <c r="S86" s="891">
        <v>167</v>
      </c>
      <c r="T86" s="891">
        <v>166</v>
      </c>
      <c r="U86" s="176">
        <f>V86-SUM(R86,S86,T86)</f>
        <v>160</v>
      </c>
      <c r="V86" s="992">
        <v>644</v>
      </c>
      <c r="W86" s="891">
        <v>154</v>
      </c>
      <c r="X86" s="891">
        <v>167</v>
      </c>
      <c r="Y86" s="891">
        <v>155</v>
      </c>
      <c r="Z86" s="176">
        <f>AA86-SUM(W86,X86,Y86)</f>
        <v>154</v>
      </c>
      <c r="AA86" s="992">
        <v>630</v>
      </c>
      <c r="AB86" s="891">
        <v>168</v>
      </c>
      <c r="AC86" s="891">
        <v>180</v>
      </c>
      <c r="AD86" s="891">
        <v>182</v>
      </c>
      <c r="AE86" s="176">
        <f>AF86-SUM(AB86,AC86,AD86)</f>
        <v>180</v>
      </c>
      <c r="AF86" s="992">
        <v>710</v>
      </c>
      <c r="AG86" s="891">
        <v>182</v>
      </c>
      <c r="AH86" s="891">
        <v>177</v>
      </c>
      <c r="AI86" s="891">
        <v>179</v>
      </c>
      <c r="AJ86" s="176">
        <f>AK86-SUM(AG86,AH86,AI86)</f>
        <v>171</v>
      </c>
      <c r="AK86" s="992">
        <v>709</v>
      </c>
      <c r="AL86" s="891">
        <v>173</v>
      </c>
      <c r="AM86" s="891">
        <v>155</v>
      </c>
      <c r="AN86" s="891">
        <v>151</v>
      </c>
      <c r="AO86" s="176">
        <f>AP86-SUM(AL86,AM86,AN86)</f>
        <v>165</v>
      </c>
      <c r="AP86" s="992">
        <v>644</v>
      </c>
      <c r="AQ86" s="891">
        <v>172</v>
      </c>
      <c r="AR86" s="891">
        <v>169</v>
      </c>
      <c r="AS86" s="891">
        <v>154</v>
      </c>
      <c r="AT86" s="891">
        <v>157</v>
      </c>
      <c r="AU86" s="992">
        <v>653</v>
      </c>
      <c r="AV86" s="891">
        <v>94</v>
      </c>
      <c r="AW86" s="891">
        <v>85</v>
      </c>
      <c r="AX86" s="891">
        <v>80</v>
      </c>
      <c r="AY86" s="891">
        <v>79</v>
      </c>
      <c r="AZ86" s="992">
        <v>338</v>
      </c>
      <c r="BA86" s="891">
        <v>85</v>
      </c>
      <c r="BB86" s="891">
        <v>83</v>
      </c>
      <c r="BC86" s="891">
        <v>79</v>
      </c>
      <c r="BD86" s="891">
        <v>80</v>
      </c>
      <c r="BE86" s="992">
        <v>326</v>
      </c>
      <c r="BF86" s="891">
        <v>83</v>
      </c>
      <c r="BG86" s="891">
        <v>77</v>
      </c>
      <c r="BH86" s="892">
        <v>82</v>
      </c>
      <c r="BI86" s="176">
        <f t="shared" si="263"/>
        <v>156.98811786885247</v>
      </c>
      <c r="BJ86" s="971">
        <f>SUM(BF86,BG86,BH86,BI86)</f>
        <v>398.98811786885244</v>
      </c>
      <c r="BK86" s="176">
        <f t="shared" si="264"/>
        <v>112.62848591780822</v>
      </c>
      <c r="BL86" s="176">
        <f t="shared" si="264"/>
        <v>112.15176443835617</v>
      </c>
      <c r="BM86" s="176">
        <f t="shared" si="264"/>
        <v>124.45062872328768</v>
      </c>
      <c r="BN86" s="176">
        <f t="shared" si="264"/>
        <v>150.11805348383561</v>
      </c>
      <c r="BO86" s="971">
        <f>SUM(BK86,BL86,BM86,BN86)</f>
        <v>499.34893256328769</v>
      </c>
      <c r="BP86" s="971">
        <f t="shared" si="265"/>
        <v>508.65668458800013</v>
      </c>
      <c r="BQ86" s="971">
        <f t="shared" si="265"/>
        <v>513.72125143388007</v>
      </c>
      <c r="BR86" s="971">
        <f t="shared" si="265"/>
        <v>518.83646394821892</v>
      </c>
      <c r="BS86" s="229"/>
    </row>
    <row r="87" spans="1:71" s="224" customFormat="1" ht="15" hidden="1" outlineLevel="1">
      <c r="A87" s="362" t="s">
        <v>359</v>
      </c>
      <c r="B87" s="389"/>
      <c r="C87" s="992">
        <v>1060</v>
      </c>
      <c r="D87" s="992">
        <v>1103</v>
      </c>
      <c r="E87" s="992">
        <v>1179</v>
      </c>
      <c r="F87" s="992">
        <v>1174</v>
      </c>
      <c r="G87" s="992">
        <v>944</v>
      </c>
      <c r="H87" s="891">
        <v>221</v>
      </c>
      <c r="I87" s="891">
        <v>220</v>
      </c>
      <c r="J87" s="891">
        <v>212</v>
      </c>
      <c r="K87" s="176">
        <f>L87-SUM(H87,I87,J87)</f>
        <v>192</v>
      </c>
      <c r="L87" s="992">
        <v>845</v>
      </c>
      <c r="M87" s="891">
        <v>183</v>
      </c>
      <c r="N87" s="891">
        <v>179</v>
      </c>
      <c r="O87" s="891">
        <v>178</v>
      </c>
      <c r="P87" s="176">
        <f>Q87-SUM(M87,N87,O87)</f>
        <v>179</v>
      </c>
      <c r="Q87" s="992">
        <v>719</v>
      </c>
      <c r="R87" s="891">
        <v>187</v>
      </c>
      <c r="S87" s="891">
        <v>197</v>
      </c>
      <c r="T87" s="891">
        <v>208</v>
      </c>
      <c r="U87" s="176">
        <f>V87-SUM(R87,S87,T87)</f>
        <v>195</v>
      </c>
      <c r="V87" s="992">
        <v>787</v>
      </c>
      <c r="W87" s="891">
        <v>184</v>
      </c>
      <c r="X87" s="891">
        <v>189</v>
      </c>
      <c r="Y87" s="891">
        <v>186</v>
      </c>
      <c r="Z87" s="176">
        <f>AA87-SUM(W87,X87,Y87)</f>
        <v>177</v>
      </c>
      <c r="AA87" s="992">
        <v>736</v>
      </c>
      <c r="AB87" s="891">
        <v>190</v>
      </c>
      <c r="AC87" s="891">
        <v>194</v>
      </c>
      <c r="AD87" s="891">
        <v>185</v>
      </c>
      <c r="AE87" s="176">
        <f>AF87-SUM(AB87,AC87,AD87)</f>
        <v>166</v>
      </c>
      <c r="AF87" s="992">
        <v>735</v>
      </c>
      <c r="AG87" s="891">
        <v>182</v>
      </c>
      <c r="AH87" s="891">
        <v>179</v>
      </c>
      <c r="AI87" s="891">
        <v>185</v>
      </c>
      <c r="AJ87" s="176">
        <f>AK87-SUM(AG87,AH87,AI87)</f>
        <v>185</v>
      </c>
      <c r="AK87" s="992">
        <v>731</v>
      </c>
      <c r="AL87" s="891">
        <v>185</v>
      </c>
      <c r="AM87" s="891">
        <v>184</v>
      </c>
      <c r="AN87" s="891">
        <v>185</v>
      </c>
      <c r="AO87" s="176">
        <f>AP87-SUM(AL87,AM87,AN87)</f>
        <v>186</v>
      </c>
      <c r="AP87" s="992">
        <v>740</v>
      </c>
      <c r="AQ87" s="891">
        <v>187</v>
      </c>
      <c r="AR87" s="891">
        <v>179</v>
      </c>
      <c r="AS87" s="891">
        <v>175</v>
      </c>
      <c r="AT87" s="176">
        <f>AU87-SUM(AQ87,AR87,AS87)</f>
        <v>165</v>
      </c>
      <c r="AU87" s="992">
        <v>706</v>
      </c>
      <c r="AV87" s="891">
        <v>161</v>
      </c>
      <c r="AW87" s="891">
        <v>142</v>
      </c>
      <c r="AX87" s="891">
        <v>132</v>
      </c>
      <c r="AY87" s="891">
        <v>128</v>
      </c>
      <c r="AZ87" s="992">
        <v>563</v>
      </c>
      <c r="BA87" s="891">
        <v>138</v>
      </c>
      <c r="BB87" s="891">
        <v>128</v>
      </c>
      <c r="BC87" s="891">
        <v>112</v>
      </c>
      <c r="BD87" s="891">
        <v>114</v>
      </c>
      <c r="BE87" s="992">
        <v>491</v>
      </c>
      <c r="BF87" s="891">
        <v>114</v>
      </c>
      <c r="BG87" s="891">
        <v>105</v>
      </c>
      <c r="BH87" s="892">
        <v>110</v>
      </c>
      <c r="BI87" s="176">
        <f t="shared" si="263"/>
        <v>251.18098859016393</v>
      </c>
      <c r="BJ87" s="971">
        <f>SUM(BF87,BG87,BH87,BI87)</f>
        <v>580.18098859016391</v>
      </c>
      <c r="BK87" s="176">
        <f t="shared" si="264"/>
        <v>112.62848591780822</v>
      </c>
      <c r="BL87" s="176">
        <f t="shared" si="264"/>
        <v>112.15176443835617</v>
      </c>
      <c r="BM87" s="176">
        <f t="shared" si="264"/>
        <v>124.45062872328768</v>
      </c>
      <c r="BN87" s="176">
        <f t="shared" si="264"/>
        <v>150.11805348383561</v>
      </c>
      <c r="BO87" s="971">
        <f>SUM(BK87,BL87,BM87,BN87)</f>
        <v>499.34893256328769</v>
      </c>
      <c r="BP87" s="971">
        <f t="shared" si="265"/>
        <v>508.65668458800002</v>
      </c>
      <c r="BQ87" s="971">
        <f t="shared" si="265"/>
        <v>513.72125143388007</v>
      </c>
      <c r="BR87" s="971">
        <f t="shared" si="265"/>
        <v>518.83646394821881</v>
      </c>
      <c r="BS87" s="229"/>
    </row>
    <row r="88" spans="1:71" s="224" customFormat="1" ht="15" hidden="1" outlineLevel="1">
      <c r="A88" s="362" t="s">
        <v>360</v>
      </c>
      <c r="B88" s="389"/>
      <c r="C88" s="992">
        <v>1357</v>
      </c>
      <c r="D88" s="992">
        <v>1441</v>
      </c>
      <c r="E88" s="992">
        <v>1658</v>
      </c>
      <c r="F88" s="992">
        <v>1763</v>
      </c>
      <c r="G88" s="992">
        <v>1551</v>
      </c>
      <c r="H88" s="891">
        <v>379</v>
      </c>
      <c r="I88" s="891">
        <v>366</v>
      </c>
      <c r="J88" s="891">
        <v>387</v>
      </c>
      <c r="K88" s="176">
        <f>L88-SUM(H88,I88,J88)</f>
        <v>387</v>
      </c>
      <c r="L88" s="992">
        <v>1519</v>
      </c>
      <c r="M88" s="891">
        <v>320</v>
      </c>
      <c r="N88" s="891">
        <v>343</v>
      </c>
      <c r="O88" s="891">
        <v>344</v>
      </c>
      <c r="P88" s="176">
        <f>Q88-SUM(M88,N88,O88)</f>
        <v>329</v>
      </c>
      <c r="Q88" s="992">
        <v>1336</v>
      </c>
      <c r="R88" s="891">
        <v>350</v>
      </c>
      <c r="S88" s="891">
        <v>397</v>
      </c>
      <c r="T88" s="891">
        <v>409</v>
      </c>
      <c r="U88" s="176">
        <f>V88-SUM(R88,S88,T88)</f>
        <v>382</v>
      </c>
      <c r="V88" s="992">
        <v>1538</v>
      </c>
      <c r="W88" s="891">
        <v>366</v>
      </c>
      <c r="X88" s="891">
        <v>370</v>
      </c>
      <c r="Y88" s="891">
        <v>383</v>
      </c>
      <c r="Z88" s="176">
        <f>AA88-SUM(W88,X88,Y88)</f>
        <v>402</v>
      </c>
      <c r="AA88" s="992">
        <v>1521</v>
      </c>
      <c r="AB88" s="891">
        <v>393</v>
      </c>
      <c r="AC88" s="891">
        <v>397</v>
      </c>
      <c r="AD88" s="891">
        <v>420</v>
      </c>
      <c r="AE88" s="176">
        <f>AF88-SUM(AB88,AC88,AD88)</f>
        <v>430</v>
      </c>
      <c r="AF88" s="992">
        <v>1640</v>
      </c>
      <c r="AG88" s="891">
        <v>405</v>
      </c>
      <c r="AH88" s="891">
        <v>420</v>
      </c>
      <c r="AI88" s="891">
        <v>442</v>
      </c>
      <c r="AJ88" s="176">
        <f>AK88-SUM(AG88,AH88,AI88)</f>
        <v>467</v>
      </c>
      <c r="AK88" s="992">
        <v>1734</v>
      </c>
      <c r="AL88" s="891">
        <v>404</v>
      </c>
      <c r="AM88" s="891">
        <v>420</v>
      </c>
      <c r="AN88" s="891">
        <v>500</v>
      </c>
      <c r="AO88" s="176">
        <f>AP88-SUM(AL88,AM88,AN88)</f>
        <v>549</v>
      </c>
      <c r="AP88" s="992">
        <v>1873</v>
      </c>
      <c r="AQ88" s="891">
        <v>460</v>
      </c>
      <c r="AR88" s="891">
        <v>438</v>
      </c>
      <c r="AS88" s="891">
        <v>462</v>
      </c>
      <c r="AT88" s="891">
        <v>488</v>
      </c>
      <c r="AU88" s="992">
        <v>1849</v>
      </c>
      <c r="AV88" s="891">
        <v>409</v>
      </c>
      <c r="AW88" s="891">
        <v>383</v>
      </c>
      <c r="AX88" s="891">
        <v>347</v>
      </c>
      <c r="AY88" s="891">
        <v>377</v>
      </c>
      <c r="AZ88" s="992">
        <v>1517</v>
      </c>
      <c r="BA88" s="891">
        <v>326</v>
      </c>
      <c r="BB88" s="891">
        <v>319</v>
      </c>
      <c r="BC88" s="891">
        <v>315</v>
      </c>
      <c r="BD88" s="884">
        <v>338</v>
      </c>
      <c r="BE88" s="992">
        <v>1299</v>
      </c>
      <c r="BF88" s="891">
        <v>248</v>
      </c>
      <c r="BG88" s="891">
        <v>252</v>
      </c>
      <c r="BH88" s="892">
        <v>285</v>
      </c>
      <c r="BI88" s="176">
        <f t="shared" si="263"/>
        <v>376.77148288524592</v>
      </c>
      <c r="BJ88" s="971">
        <f>SUM(BF88,BG88,BH88,BI88)</f>
        <v>1161.7714828852459</v>
      </c>
      <c r="BK88" s="176">
        <f t="shared" si="264"/>
        <v>270.30836620273971</v>
      </c>
      <c r="BL88" s="176">
        <f t="shared" si="264"/>
        <v>269.1642346520548</v>
      </c>
      <c r="BM88" s="176">
        <f t="shared" si="264"/>
        <v>298.68150893589041</v>
      </c>
      <c r="BN88" s="176">
        <f t="shared" si="264"/>
        <v>360.28332836120546</v>
      </c>
      <c r="BO88" s="971">
        <f>SUM(BK88,BL88,BM88,BN88)</f>
        <v>1198.4374381518905</v>
      </c>
      <c r="BP88" s="971">
        <f t="shared" si="265"/>
        <v>1220.7760430112</v>
      </c>
      <c r="BQ88" s="971">
        <f t="shared" si="265"/>
        <v>1232.931003441312</v>
      </c>
      <c r="BR88" s="971">
        <f t="shared" si="265"/>
        <v>1245.2075134757251</v>
      </c>
      <c r="BS88" s="229"/>
    </row>
    <row r="89" spans="1:71" s="44" customFormat="1" ht="15" hidden="1" outlineLevel="1">
      <c r="A89" s="366" t="s">
        <v>361</v>
      </c>
      <c r="B89" s="386"/>
      <c r="C89" s="982">
        <f t="shared" si="266" ref="C89:AN89">C84-SUM(C85:C88)</f>
        <v>2800</v>
      </c>
      <c r="D89" s="982">
        <f t="shared" si="266"/>
        <v>3283</v>
      </c>
      <c r="E89" s="982">
        <f t="shared" si="266"/>
        <v>3829</v>
      </c>
      <c r="F89" s="982">
        <f t="shared" si="266"/>
        <v>3904</v>
      </c>
      <c r="G89" s="982">
        <f t="shared" si="266"/>
        <v>3628</v>
      </c>
      <c r="H89" s="25">
        <f t="shared" si="266"/>
        <v>933</v>
      </c>
      <c r="I89" s="25">
        <f t="shared" si="266"/>
        <v>927</v>
      </c>
      <c r="J89" s="25">
        <f t="shared" si="266"/>
        <v>828</v>
      </c>
      <c r="K89" s="25">
        <f t="shared" si="266"/>
        <v>770</v>
      </c>
      <c r="L89" s="982">
        <f t="shared" si="266"/>
        <v>3458</v>
      </c>
      <c r="M89" s="25">
        <f t="shared" si="266"/>
        <v>819</v>
      </c>
      <c r="N89" s="25">
        <f t="shared" si="266"/>
        <v>757</v>
      </c>
      <c r="O89" s="25">
        <f t="shared" si="266"/>
        <v>789</v>
      </c>
      <c r="P89" s="25">
        <f t="shared" si="266"/>
        <v>810</v>
      </c>
      <c r="Q89" s="982">
        <f t="shared" si="266"/>
        <v>3175</v>
      </c>
      <c r="R89" s="25">
        <f t="shared" si="266"/>
        <v>806</v>
      </c>
      <c r="S89" s="25">
        <f t="shared" si="266"/>
        <v>802</v>
      </c>
      <c r="T89" s="25">
        <f t="shared" si="266"/>
        <v>827</v>
      </c>
      <c r="U89" s="25">
        <f t="shared" si="266"/>
        <v>713</v>
      </c>
      <c r="V89" s="982">
        <f t="shared" si="266"/>
        <v>3148</v>
      </c>
      <c r="W89" s="25">
        <f t="shared" si="266"/>
        <v>769</v>
      </c>
      <c r="X89" s="25">
        <f t="shared" si="266"/>
        <v>791</v>
      </c>
      <c r="Y89" s="25">
        <f t="shared" si="266"/>
        <v>748</v>
      </c>
      <c r="Z89" s="25">
        <f t="shared" si="266"/>
        <v>746</v>
      </c>
      <c r="AA89" s="982">
        <f t="shared" si="266"/>
        <v>3054</v>
      </c>
      <c r="AB89" s="25">
        <f t="shared" si="266"/>
        <v>818</v>
      </c>
      <c r="AC89" s="25">
        <f t="shared" si="266"/>
        <v>836</v>
      </c>
      <c r="AD89" s="25">
        <f t="shared" si="266"/>
        <v>756</v>
      </c>
      <c r="AE89" s="25">
        <f t="shared" si="266"/>
        <v>798</v>
      </c>
      <c r="AF89" s="982">
        <f t="shared" si="266"/>
        <v>3208</v>
      </c>
      <c r="AG89" s="25">
        <f t="shared" si="266"/>
        <v>896</v>
      </c>
      <c r="AH89" s="25">
        <f t="shared" si="266"/>
        <v>831</v>
      </c>
      <c r="AI89" s="25">
        <f t="shared" si="266"/>
        <v>838</v>
      </c>
      <c r="AJ89" s="25">
        <f t="shared" si="266"/>
        <v>697</v>
      </c>
      <c r="AK89" s="982">
        <f t="shared" si="266"/>
        <v>3262</v>
      </c>
      <c r="AL89" s="111">
        <f t="shared" si="266"/>
        <v>855</v>
      </c>
      <c r="AM89" s="25">
        <f t="shared" si="266"/>
        <v>839</v>
      </c>
      <c r="AN89" s="25">
        <f t="shared" si="266"/>
        <v>747</v>
      </c>
      <c r="AO89" s="893">
        <v>821</v>
      </c>
      <c r="AP89" s="982">
        <f>AP84-SUM(AP85:AP88)</f>
        <v>3263</v>
      </c>
      <c r="AQ89" s="111">
        <f>AQ84-SUM(AQ85:AQ88)</f>
        <v>887</v>
      </c>
      <c r="AR89" s="893">
        <v>1004</v>
      </c>
      <c r="AS89" s="25">
        <f>AS84-SUM(AS85:AS88)</f>
        <v>978</v>
      </c>
      <c r="AT89" s="893">
        <v>887</v>
      </c>
      <c r="AU89" s="982">
        <f>AU84-SUM(AU85:AU88)</f>
        <v>3754</v>
      </c>
      <c r="AV89" s="111">
        <f>AV84-SUM(AV85:AV88)</f>
        <v>871</v>
      </c>
      <c r="AW89" s="25">
        <f>AW84-SUM(AW85:AW88)</f>
        <v>873</v>
      </c>
      <c r="AX89" s="25">
        <f t="shared" si="267" ref="AX89">AX84-SUM(AX85:AX88)</f>
        <v>818</v>
      </c>
      <c r="AY89" s="25">
        <f t="shared" si="268" ref="AY89:AZ89">AY84-SUM(AY85:AY88)</f>
        <v>721</v>
      </c>
      <c r="AZ89" s="982">
        <f t="shared" si="268"/>
        <v>3281</v>
      </c>
      <c r="BA89" s="111">
        <f t="shared" si="269" ref="BA89:BI89">BA84-SUM(BA85:BA88)</f>
        <v>788</v>
      </c>
      <c r="BB89" s="25">
        <f t="shared" si="269"/>
        <v>822</v>
      </c>
      <c r="BC89" s="25">
        <f t="shared" si="269"/>
        <v>868</v>
      </c>
      <c r="BD89" s="185">
        <f t="shared" si="269"/>
        <v>755</v>
      </c>
      <c r="BE89" s="982">
        <f t="shared" si="269"/>
        <v>3235</v>
      </c>
      <c r="BF89" s="111">
        <f>BF84-SUM(BF85:BF88)</f>
        <v>811</v>
      </c>
      <c r="BG89" s="25">
        <f>BG84-SUM(BG85:BG88)</f>
        <v>865</v>
      </c>
      <c r="BH89" s="749">
        <f>BH84-SUM(BH85:BH88)</f>
        <v>1073</v>
      </c>
      <c r="BI89" s="25">
        <f t="shared" si="269"/>
        <v>533.7596007540983</v>
      </c>
      <c r="BJ89" s="982">
        <f t="shared" si="270" ref="BJ89">BJ84-SUM(BJ85:BJ88)</f>
        <v>3282.7596007540978</v>
      </c>
      <c r="BK89" s="25">
        <f t="shared" si="271" ref="BK89:BR89">BK84-SUM(BK85:BK88)</f>
        <v>540.61673240547952</v>
      </c>
      <c r="BL89" s="25">
        <f t="shared" si="271"/>
        <v>515.89811641643837</v>
      </c>
      <c r="BM89" s="25">
        <f t="shared" si="271"/>
        <v>572.47289212712303</v>
      </c>
      <c r="BN89" s="25">
        <f t="shared" si="271"/>
        <v>690.54304602564389</v>
      </c>
      <c r="BO89" s="982">
        <f t="shared" si="271"/>
        <v>2319.5307869746866</v>
      </c>
      <c r="BP89" s="982">
        <f t="shared" si="271"/>
        <v>2339.8207491047997</v>
      </c>
      <c r="BQ89" s="982">
        <f t="shared" si="271"/>
        <v>2363.1177565958478</v>
      </c>
      <c r="BR89" s="982">
        <f t="shared" si="271"/>
        <v>2386.6477341618056</v>
      </c>
      <c r="BS89" s="100"/>
    </row>
    <row r="90" spans="1:71" s="44" customFormat="1" ht="15" hidden="1" outlineLevel="1">
      <c r="A90" s="368"/>
      <c r="B90" s="397"/>
      <c r="C90" s="978"/>
      <c r="D90" s="978"/>
      <c r="E90" s="978"/>
      <c r="F90" s="978"/>
      <c r="G90" s="978"/>
      <c r="H90" s="185"/>
      <c r="I90" s="185"/>
      <c r="J90" s="185"/>
      <c r="K90" s="185"/>
      <c r="L90" s="978"/>
      <c r="M90" s="185"/>
      <c r="N90" s="185"/>
      <c r="O90" s="185"/>
      <c r="P90" s="185"/>
      <c r="Q90" s="978"/>
      <c r="R90" s="185"/>
      <c r="S90" s="185"/>
      <c r="T90" s="185"/>
      <c r="U90" s="185"/>
      <c r="V90" s="978"/>
      <c r="W90" s="185"/>
      <c r="X90" s="185"/>
      <c r="Y90" s="185"/>
      <c r="Z90" s="185"/>
      <c r="AA90" s="978"/>
      <c r="AB90" s="185"/>
      <c r="AC90" s="185"/>
      <c r="AD90" s="185"/>
      <c r="AE90" s="185"/>
      <c r="AF90" s="978"/>
      <c r="AG90" s="185"/>
      <c r="AH90" s="185"/>
      <c r="AI90" s="185"/>
      <c r="AJ90" s="185"/>
      <c r="AK90" s="978"/>
      <c r="AL90" s="185"/>
      <c r="AM90" s="185"/>
      <c r="AN90" s="185"/>
      <c r="AO90" s="185"/>
      <c r="AP90" s="978"/>
      <c r="AQ90" s="185"/>
      <c r="AR90" s="185"/>
      <c r="AS90" s="185"/>
      <c r="AT90" s="185"/>
      <c r="AU90" s="978"/>
      <c r="AV90" s="185"/>
      <c r="AW90" s="185"/>
      <c r="AX90" s="185"/>
      <c r="AY90" s="185"/>
      <c r="AZ90" s="978"/>
      <c r="BA90" s="185"/>
      <c r="BB90" s="185"/>
      <c r="BC90" s="185"/>
      <c r="BD90" s="185"/>
      <c r="BE90" s="978"/>
      <c r="BF90" s="185"/>
      <c r="BG90" s="185"/>
      <c r="BH90" s="552"/>
      <c r="BI90" s="185"/>
      <c r="BJ90" s="978"/>
      <c r="BK90" s="185"/>
      <c r="BL90" s="185"/>
      <c r="BM90" s="185"/>
      <c r="BN90" s="185"/>
      <c r="BO90" s="978"/>
      <c r="BP90" s="978"/>
      <c r="BQ90" s="978"/>
      <c r="BR90" s="978"/>
      <c r="BS90" s="100"/>
    </row>
    <row r="91" spans="1:71" s="46" customFormat="1" ht="15" hidden="1" outlineLevel="1">
      <c r="A91" s="415" t="s">
        <v>394</v>
      </c>
      <c r="B91" s="396"/>
      <c r="C91" s="979"/>
      <c r="D91" s="979">
        <f>D81/C81-1</f>
        <v>0.10748891443586794</v>
      </c>
      <c r="E91" s="979">
        <f>E81/D81-1</f>
        <v>0.15807814932898356</v>
      </c>
      <c r="F91" s="979">
        <f>F81/E81-1</f>
        <v>0.098085664895319891</v>
      </c>
      <c r="G91" s="979">
        <f>G81/F81-1</f>
        <v>-0.1264649291586496</v>
      </c>
      <c r="H91" s="644"/>
      <c r="I91" s="644"/>
      <c r="J91" s="644"/>
      <c r="K91" s="644"/>
      <c r="L91" s="979">
        <f t="shared" si="272" ref="L91:AQ91">L81/G81-1</f>
        <v>-0.074823121078627652</v>
      </c>
      <c r="M91" s="644">
        <f t="shared" si="272"/>
        <v>-0.13539325842696626</v>
      </c>
      <c r="N91" s="644">
        <f t="shared" si="272"/>
        <v>-0.16769144773616551</v>
      </c>
      <c r="O91" s="644">
        <f t="shared" si="272"/>
        <v>-0.15647990945104695</v>
      </c>
      <c r="P91" s="644">
        <f t="shared" si="272"/>
        <v>-0.056444026340545572</v>
      </c>
      <c r="Q91" s="979">
        <f t="shared" si="272"/>
        <v>-0.13094293341028784</v>
      </c>
      <c r="R91" s="644">
        <f t="shared" si="272"/>
        <v>0.032813515269655591</v>
      </c>
      <c r="S91" s="644">
        <f t="shared" si="272"/>
        <v>0.14237743451981189</v>
      </c>
      <c r="T91" s="644">
        <f t="shared" si="272"/>
        <v>0.20630660852063065</v>
      </c>
      <c r="U91" s="644">
        <f t="shared" si="272"/>
        <v>0.11665004985044858</v>
      </c>
      <c r="V91" s="979">
        <f t="shared" si="272"/>
        <v>0.12377552714594064</v>
      </c>
      <c r="W91" s="644">
        <f t="shared" si="272"/>
        <v>0.0047184649260774147</v>
      </c>
      <c r="X91" s="644">
        <f t="shared" si="272"/>
        <v>-0.052910052910052907</v>
      </c>
      <c r="Y91" s="644">
        <f t="shared" si="272"/>
        <v>-0.11012235817575089</v>
      </c>
      <c r="Z91" s="644">
        <f t="shared" si="272"/>
        <v>-0.066666666666666652</v>
      </c>
      <c r="AA91" s="979">
        <f t="shared" si="272"/>
        <v>-0.057989214744773587</v>
      </c>
      <c r="AB91" s="644">
        <f t="shared" si="272"/>
        <v>0.021603005635566719</v>
      </c>
      <c r="AC91" s="644">
        <f t="shared" si="272"/>
        <v>0.0015518311607696234</v>
      </c>
      <c r="AD91" s="644">
        <f t="shared" si="272"/>
        <v>-0.012812500000000004</v>
      </c>
      <c r="AE91" s="644">
        <f t="shared" si="272"/>
        <v>-0.0073341836734693855</v>
      </c>
      <c r="AF91" s="979">
        <f t="shared" si="272"/>
        <v>0.00078419071518198713</v>
      </c>
      <c r="AG91" s="644">
        <f t="shared" si="272"/>
        <v>-0.025436714679742622</v>
      </c>
      <c r="AH91" s="644">
        <f t="shared" si="272"/>
        <v>-0.017043693833281637</v>
      </c>
      <c r="AI91" s="644">
        <f t="shared" si="272"/>
        <v>0.025957581513136985</v>
      </c>
      <c r="AJ91" s="644">
        <f t="shared" si="272"/>
        <v>0.021201413427561766</v>
      </c>
      <c r="AK91" s="979">
        <f t="shared" si="272"/>
        <v>0.0007835762419683423</v>
      </c>
      <c r="AL91" s="644">
        <f t="shared" si="272"/>
        <v>-0.0094339622641509413</v>
      </c>
      <c r="AM91" s="644">
        <f t="shared" si="272"/>
        <v>-0.0044136191677175418</v>
      </c>
      <c r="AN91" s="644">
        <f t="shared" si="272"/>
        <v>-0.022523912372724442</v>
      </c>
      <c r="AO91" s="644">
        <f t="shared" si="272"/>
        <v>0.0047184649260774147</v>
      </c>
      <c r="AP91" s="979">
        <f t="shared" si="272"/>
        <v>-0.0079862198559348396</v>
      </c>
      <c r="AQ91" s="644">
        <f t="shared" si="272"/>
        <v>-0.0085714285714285632</v>
      </c>
      <c r="AR91" s="644">
        <f t="shared" si="273" ref="AR91:AW91">AR81/AM81-1</f>
        <v>-0.054148195060164661</v>
      </c>
      <c r="AS91" s="644">
        <f t="shared" si="273"/>
        <v>-0.073863636363636354</v>
      </c>
      <c r="AT91" s="644">
        <f t="shared" si="273"/>
        <v>-0.12085159674389478</v>
      </c>
      <c r="AU91" s="979">
        <f t="shared" si="273"/>
        <v>-0.064483030781373296</v>
      </c>
      <c r="AV91" s="644">
        <f t="shared" si="273"/>
        <v>-0.15946205571565797</v>
      </c>
      <c r="AW91" s="644">
        <f t="shared" si="273"/>
        <v>-0.21861399397388681</v>
      </c>
      <c r="AX91" s="644">
        <f t="shared" si="274" ref="AX91:BC91">AX81/AS81-1</f>
        <v>-0.2757327880027266</v>
      </c>
      <c r="AY91" s="644">
        <f t="shared" si="274"/>
        <v>-0.25142450142450146</v>
      </c>
      <c r="AZ91" s="979">
        <f t="shared" si="274"/>
        <v>-0.22500632751202232</v>
      </c>
      <c r="BA91" s="644">
        <f t="shared" si="274"/>
        <v>-0.17333333333333334</v>
      </c>
      <c r="BB91" s="644">
        <f t="shared" si="274"/>
        <v>-0.11568123393316199</v>
      </c>
      <c r="BC91" s="644">
        <f t="shared" si="274"/>
        <v>-0.071529411764705841</v>
      </c>
      <c r="BD91" s="644">
        <f>BD81/AY81-1</f>
        <v>-0.1246431969552807</v>
      </c>
      <c r="BE91" s="979">
        <f>BE81/AZ81-1</f>
        <v>-0.12399303287611585</v>
      </c>
      <c r="BF91" s="644">
        <f>BF81/BA81-1</f>
        <v>-0.1631336405529954</v>
      </c>
      <c r="BG91" s="644">
        <f>BG81/BB81-1</f>
        <v>-0.16908914728682167</v>
      </c>
      <c r="BH91" s="744">
        <f>BH81/BC81-1</f>
        <v>-0.13380638621388752</v>
      </c>
      <c r="BI91" s="882">
        <v>0.20</v>
      </c>
      <c r="BJ91" s="979">
        <f>BJ81/BE81-1</f>
        <v>-0.07443767863800177</v>
      </c>
      <c r="BK91" s="882">
        <v>-0.05</v>
      </c>
      <c r="BL91" s="882">
        <v>0.01</v>
      </c>
      <c r="BM91" s="882">
        <v>0.14999999999999999</v>
      </c>
      <c r="BN91" s="882">
        <v>0.11</v>
      </c>
      <c r="BO91" s="979">
        <f>BO81/BJ81-1</f>
        <v>0.057140171858216959</v>
      </c>
      <c r="BP91" s="981">
        <v>0.01</v>
      </c>
      <c r="BQ91" s="981">
        <v>0.01</v>
      </c>
      <c r="BR91" s="981">
        <v>0.01</v>
      </c>
      <c r="BS91" s="93"/>
    </row>
    <row r="92" spans="1:71" s="44" customFormat="1" ht="15" hidden="1" outlineLevel="1">
      <c r="A92" s="368"/>
      <c r="B92" s="397"/>
      <c r="C92" s="978"/>
      <c r="D92" s="978"/>
      <c r="E92" s="978"/>
      <c r="F92" s="978"/>
      <c r="G92" s="978"/>
      <c r="H92" s="185"/>
      <c r="I92" s="185"/>
      <c r="J92" s="185"/>
      <c r="K92" s="185"/>
      <c r="L92" s="978"/>
      <c r="M92" s="185"/>
      <c r="N92" s="185"/>
      <c r="O92" s="185"/>
      <c r="P92" s="185"/>
      <c r="Q92" s="978"/>
      <c r="R92" s="185"/>
      <c r="S92" s="185"/>
      <c r="T92" s="185"/>
      <c r="U92" s="185"/>
      <c r="V92" s="978"/>
      <c r="W92" s="185"/>
      <c r="X92" s="185"/>
      <c r="Y92" s="185"/>
      <c r="Z92" s="185"/>
      <c r="AA92" s="978"/>
      <c r="AB92" s="185"/>
      <c r="AC92" s="185"/>
      <c r="AD92" s="185"/>
      <c r="AE92" s="185"/>
      <c r="AF92" s="978"/>
      <c r="AG92" s="185"/>
      <c r="AH92" s="185"/>
      <c r="AI92" s="185"/>
      <c r="AJ92" s="185"/>
      <c r="AK92" s="978"/>
      <c r="AL92" s="185"/>
      <c r="AM92" s="185"/>
      <c r="AN92" s="185"/>
      <c r="AO92" s="185"/>
      <c r="AP92" s="978"/>
      <c r="AQ92" s="185"/>
      <c r="AR92" s="185"/>
      <c r="AS92" s="185"/>
      <c r="AT92" s="185"/>
      <c r="AU92" s="978"/>
      <c r="AV92" s="185"/>
      <c r="AW92" s="185"/>
      <c r="AX92" s="185"/>
      <c r="AY92" s="185"/>
      <c r="AZ92" s="978"/>
      <c r="BA92" s="185"/>
      <c r="BB92" s="185"/>
      <c r="BC92" s="185"/>
      <c r="BD92" s="185"/>
      <c r="BE92" s="978"/>
      <c r="BF92" s="185"/>
      <c r="BG92" s="185"/>
      <c r="BH92" s="552"/>
      <c r="BI92" s="185"/>
      <c r="BJ92" s="978"/>
      <c r="BK92" s="185"/>
      <c r="BL92" s="185"/>
      <c r="BM92" s="185"/>
      <c r="BN92" s="185"/>
      <c r="BO92" s="978"/>
      <c r="BP92" s="978"/>
      <c r="BQ92" s="978"/>
      <c r="BR92" s="978"/>
      <c r="BS92" s="100"/>
    </row>
    <row r="93" spans="1:71" s="42" customFormat="1" ht="15" hidden="1" outlineLevel="1">
      <c r="A93" s="398" t="s">
        <v>362</v>
      </c>
      <c r="B93" s="393"/>
      <c r="C93" s="964">
        <f t="shared" si="275" ref="C93:AM93">C85/C84</f>
        <v>0.60375534999309677</v>
      </c>
      <c r="D93" s="964">
        <f t="shared" si="275"/>
        <v>0.59792201289353442</v>
      </c>
      <c r="E93" s="964">
        <f t="shared" si="275"/>
        <v>0.6013730725222034</v>
      </c>
      <c r="F93" s="964">
        <f t="shared" si="275"/>
        <v>0.62314865606143721</v>
      </c>
      <c r="G93" s="964">
        <f t="shared" si="275"/>
        <v>0.61759384893713254</v>
      </c>
      <c r="H93" s="395">
        <f t="shared" si="275"/>
        <v>0.59891278657527769</v>
      </c>
      <c r="I93" s="395">
        <f t="shared" si="275"/>
        <v>0.60595405532114388</v>
      </c>
      <c r="J93" s="395">
        <f t="shared" si="275"/>
        <v>0.62408153590898319</v>
      </c>
      <c r="K93" s="395">
        <f t="shared" si="275"/>
        <v>0.60744985673352436</v>
      </c>
      <c r="L93" s="964">
        <f t="shared" si="275"/>
        <v>0.60912111144669279</v>
      </c>
      <c r="M93" s="395">
        <f t="shared" si="275"/>
        <v>0.60232495268991615</v>
      </c>
      <c r="N93" s="395">
        <f t="shared" si="275"/>
        <v>0.6044568245125348</v>
      </c>
      <c r="O93" s="395">
        <f t="shared" si="275"/>
        <v>0.59515859766277124</v>
      </c>
      <c r="P93" s="395">
        <f t="shared" si="275"/>
        <v>0.59724517906336083</v>
      </c>
      <c r="Q93" s="964">
        <f t="shared" si="275"/>
        <v>0.59980706952387519</v>
      </c>
      <c r="R93" s="395">
        <f t="shared" si="275"/>
        <v>0.60444797458300237</v>
      </c>
      <c r="S93" s="395">
        <f t="shared" si="275"/>
        <v>0.61100049776007959</v>
      </c>
      <c r="T93" s="395">
        <f t="shared" si="275"/>
        <v>0.61784951341087113</v>
      </c>
      <c r="U93" s="395">
        <f t="shared" si="275"/>
        <v>0.63169926339852678</v>
      </c>
      <c r="V93" s="964">
        <f t="shared" si="275"/>
        <v>0.61636876763875825</v>
      </c>
      <c r="W93" s="395">
        <f t="shared" si="275"/>
        <v>0.60834884339271467</v>
      </c>
      <c r="X93" s="395">
        <f t="shared" si="275"/>
        <v>0.59963050936922668</v>
      </c>
      <c r="Y93" s="395">
        <f t="shared" si="275"/>
        <v>0.6097560975609756</v>
      </c>
      <c r="Z93" s="395">
        <f t="shared" si="275"/>
        <v>0.6009174311926605</v>
      </c>
      <c r="AA93" s="964">
        <f t="shared" si="275"/>
        <v>0.6046712802768166</v>
      </c>
      <c r="AB93" s="395">
        <f t="shared" si="275"/>
        <v>0.59383898524462853</v>
      </c>
      <c r="AC93" s="395">
        <f t="shared" si="275"/>
        <v>0.58194588969823102</v>
      </c>
      <c r="AD93" s="395">
        <f t="shared" si="275"/>
        <v>0.59125827814569532</v>
      </c>
      <c r="AE93" s="395">
        <f t="shared" si="275"/>
        <v>0.57733619763694954</v>
      </c>
      <c r="AF93" s="964">
        <f t="shared" si="275"/>
        <v>0.58615020386689465</v>
      </c>
      <c r="AG93" s="395">
        <f t="shared" si="275"/>
        <v>0.56909937888198758</v>
      </c>
      <c r="AH93" s="395">
        <f t="shared" si="275"/>
        <v>0.57621308016877637</v>
      </c>
      <c r="AI93" s="395">
        <f t="shared" si="275"/>
        <v>0.57975460122699385</v>
      </c>
      <c r="AJ93" s="395">
        <f t="shared" si="275"/>
        <v>0.59412550066755676</v>
      </c>
      <c r="AK93" s="964">
        <f t="shared" si="275"/>
        <v>0.57970351988506497</v>
      </c>
      <c r="AL93" s="395">
        <f t="shared" si="275"/>
        <v>0.57480936103076519</v>
      </c>
      <c r="AM93" s="395">
        <f t="shared" si="275"/>
        <v>0.57980541677622932</v>
      </c>
      <c r="AN93" s="395">
        <f t="shared" si="276" ref="AN93:AQ93">AN85/AN84</f>
        <v>0.58797501301405519</v>
      </c>
      <c r="AO93" s="395">
        <f t="shared" si="276"/>
        <v>0.56079530971195513</v>
      </c>
      <c r="AP93" s="964">
        <f t="shared" si="276"/>
        <v>0.57582460477522612</v>
      </c>
      <c r="AQ93" s="395">
        <f t="shared" si="276"/>
        <v>0.55584483207498048</v>
      </c>
      <c r="AR93" s="395">
        <f t="shared" si="277" ref="AR93:AV93">AR85/AR84</f>
        <v>0.52731591448931114</v>
      </c>
      <c r="AS93" s="395">
        <f t="shared" si="277"/>
        <v>0.52279471270569189</v>
      </c>
      <c r="AT93" s="395">
        <f t="shared" si="277"/>
        <v>0.52688771245472277</v>
      </c>
      <c r="AU93" s="964">
        <f t="shared" si="277"/>
        <v>0.53353433835845898</v>
      </c>
      <c r="AV93" s="395">
        <f t="shared" si="277"/>
        <v>0.53681351840675917</v>
      </c>
      <c r="AW93" s="395">
        <f t="shared" si="278" ref="AW93:BB93">AW85/AW84</f>
        <v>0.51630789302022184</v>
      </c>
      <c r="AX93" s="395">
        <f t="shared" si="278"/>
        <v>0.50768680729352877</v>
      </c>
      <c r="AY93" s="395">
        <f t="shared" si="278"/>
        <v>0.51898267600442316</v>
      </c>
      <c r="AZ93" s="964">
        <f t="shared" si="278"/>
        <v>0.52068965517241383</v>
      </c>
      <c r="BA93" s="395">
        <f t="shared" si="278"/>
        <v>0.52078853046594986</v>
      </c>
      <c r="BB93" s="395">
        <f t="shared" si="278"/>
        <v>0.50110701107011069</v>
      </c>
      <c r="BC93" s="395">
        <f t="shared" si="279" ref="BC93:BH93">BC85/BC84</f>
        <v>0.48345864661654137</v>
      </c>
      <c r="BD93" s="395">
        <f t="shared" si="279"/>
        <v>0.48581701957650819</v>
      </c>
      <c r="BE93" s="964">
        <f t="shared" si="279"/>
        <v>0.49821830457614402</v>
      </c>
      <c r="BF93" s="395">
        <f t="shared" si="279"/>
        <v>0.49211484027496966</v>
      </c>
      <c r="BG93" s="395">
        <f t="shared" si="279"/>
        <v>0.46914589293011849</v>
      </c>
      <c r="BH93" s="737">
        <f t="shared" si="279"/>
        <v>0.34819175777964678</v>
      </c>
      <c r="BI93" s="894">
        <v>0.57999999999999996</v>
      </c>
      <c r="BJ93" s="964">
        <f>BJ85/BJ84</f>
        <v>0.48037711490288176</v>
      </c>
      <c r="BK93" s="894">
        <v>0.54000000000000004</v>
      </c>
      <c r="BL93" s="894">
        <v>0.55000000000000004</v>
      </c>
      <c r="BM93" s="894">
        <v>0.55000000000000004</v>
      </c>
      <c r="BN93" s="894">
        <v>0.55000000000000004</v>
      </c>
      <c r="BO93" s="964">
        <f>BO85/BO84</f>
        <v>0.54774449330772257</v>
      </c>
      <c r="BP93" s="993">
        <v>0.55000000000000004</v>
      </c>
      <c r="BQ93" s="993">
        <v>0.55000000000000004</v>
      </c>
      <c r="BR93" s="993">
        <v>0.55000000000000004</v>
      </c>
      <c r="BS93" s="91"/>
    </row>
    <row r="94" spans="1:71" s="42" customFormat="1" ht="15" hidden="1" outlineLevel="1">
      <c r="A94" s="398" t="s">
        <v>363</v>
      </c>
      <c r="B94" s="393"/>
      <c r="C94" s="964">
        <f t="shared" si="280" ref="C94:AM94">C86/C84</f>
        <v>0.036103824382162086</v>
      </c>
      <c r="D94" s="964">
        <f t="shared" si="280"/>
        <v>0.037366213932528008</v>
      </c>
      <c r="E94" s="964">
        <f t="shared" si="280"/>
        <v>0.035416553152073232</v>
      </c>
      <c r="F94" s="964">
        <f t="shared" si="280"/>
        <v>0.035705380741036255</v>
      </c>
      <c r="G94" s="964">
        <f t="shared" si="280"/>
        <v>0.036239258254183629</v>
      </c>
      <c r="H94" s="395">
        <f t="shared" si="280"/>
        <v>0.038761522098794611</v>
      </c>
      <c r="I94" s="395">
        <f t="shared" si="280"/>
        <v>0.039381153305203941</v>
      </c>
      <c r="J94" s="395">
        <f t="shared" si="280"/>
        <v>0.037686655605593741</v>
      </c>
      <c r="K94" s="395">
        <f t="shared" si="280"/>
        <v>0.041156551185204483</v>
      </c>
      <c r="L94" s="964">
        <f t="shared" si="280"/>
        <v>0.039202657807308972</v>
      </c>
      <c r="M94" s="395">
        <f t="shared" si="280"/>
        <v>0.040281157069478241</v>
      </c>
      <c r="N94" s="395">
        <f t="shared" si="280"/>
        <v>0.039275766016713093</v>
      </c>
      <c r="O94" s="395">
        <f t="shared" si="280"/>
        <v>0.04006677796327212</v>
      </c>
      <c r="P94" s="395">
        <f t="shared" si="280"/>
        <v>0.039669421487603308</v>
      </c>
      <c r="Q94" s="964">
        <f t="shared" si="280"/>
        <v>0.039826362571487632</v>
      </c>
      <c r="R94" s="395">
        <f t="shared" si="280"/>
        <v>0.039978819168652369</v>
      </c>
      <c r="S94" s="395">
        <f t="shared" si="280"/>
        <v>0.041562966650074661</v>
      </c>
      <c r="T94" s="395">
        <f t="shared" si="280"/>
        <v>0.039401851412295276</v>
      </c>
      <c r="U94" s="395">
        <f t="shared" si="280"/>
        <v>0.040640081280162561</v>
      </c>
      <c r="V94" s="964">
        <f t="shared" si="280"/>
        <v>0.040388836625901536</v>
      </c>
      <c r="W94" s="395">
        <f t="shared" si="280"/>
        <v>0.040946556766817334</v>
      </c>
      <c r="X94" s="395">
        <f t="shared" si="280"/>
        <v>0.044074953813671151</v>
      </c>
      <c r="Y94" s="395">
        <f t="shared" si="280"/>
        <v>0.041092258748674441</v>
      </c>
      <c r="Z94" s="395">
        <f t="shared" si="280"/>
        <v>0.041554236373448461</v>
      </c>
      <c r="AA94" s="964">
        <f t="shared" si="280"/>
        <v>0.041921746073995209</v>
      </c>
      <c r="AB94" s="395">
        <f t="shared" si="280"/>
        <v>0.043489515920269221</v>
      </c>
      <c r="AC94" s="395">
        <f t="shared" si="280"/>
        <v>0.046826222684703434</v>
      </c>
      <c r="AD94" s="395">
        <f t="shared" si="280"/>
        <v>0.048211920529801326</v>
      </c>
      <c r="AE94" s="395">
        <f t="shared" si="280"/>
        <v>0.048335123523093451</v>
      </c>
      <c r="AF94" s="964">
        <f t="shared" si="280"/>
        <v>0.046692095225568851</v>
      </c>
      <c r="AG94" s="395">
        <f t="shared" si="280"/>
        <v>0.04710144927536232</v>
      </c>
      <c r="AH94" s="395">
        <f t="shared" si="280"/>
        <v>0.046677215189873417</v>
      </c>
      <c r="AI94" s="395">
        <f t="shared" si="280"/>
        <v>0.045756646216768913</v>
      </c>
      <c r="AJ94" s="395">
        <f t="shared" si="280"/>
        <v>0.045660881174899866</v>
      </c>
      <c r="AK94" s="964">
        <f t="shared" si="280"/>
        <v>0.0463005289623196</v>
      </c>
      <c r="AL94" s="395">
        <f t="shared" si="280"/>
        <v>0.045490402313962661</v>
      </c>
      <c r="AM94" s="395">
        <f t="shared" si="280"/>
        <v>0.040757296870891399</v>
      </c>
      <c r="AN94" s="395">
        <f t="shared" si="281" ref="AN94:AQ94">AN86/AN84</f>
        <v>0.039302446642373763</v>
      </c>
      <c r="AO94" s="395">
        <f t="shared" si="281"/>
        <v>0.042059648228396633</v>
      </c>
      <c r="AP94" s="964">
        <f t="shared" si="281"/>
        <v>0.041897078914839632</v>
      </c>
      <c r="AQ94" s="395">
        <f t="shared" si="281"/>
        <v>0.04478000520697735</v>
      </c>
      <c r="AR94" s="395">
        <f t="shared" si="282" ref="AR94:AW94">AR86/AR84</f>
        <v>0.044602797571918713</v>
      </c>
      <c r="AS94" s="395">
        <f t="shared" si="282"/>
        <v>0.041543026706231452</v>
      </c>
      <c r="AT94" s="395">
        <f t="shared" si="282"/>
        <v>0.043744775703538588</v>
      </c>
      <c r="AU94" s="964">
        <f t="shared" si="282"/>
        <v>0.043752093802345057</v>
      </c>
      <c r="AV94" s="395">
        <f t="shared" si="282"/>
        <v>0.028364514182257092</v>
      </c>
      <c r="AW94" s="395">
        <f t="shared" si="282"/>
        <v>0.027723418134377037</v>
      </c>
      <c r="AX94" s="395">
        <f t="shared" si="283" ref="AX94:BC94">AX86/AX84</f>
        <v>0.028602073650339649</v>
      </c>
      <c r="AY94" s="395">
        <f t="shared" si="283"/>
        <v>0.029119056395134537</v>
      </c>
      <c r="AZ94" s="964">
        <f t="shared" si="283"/>
        <v>0.028427249789739276</v>
      </c>
      <c r="BA94" s="395">
        <f t="shared" si="283"/>
        <v>0.03046594982078853</v>
      </c>
      <c r="BB94" s="395">
        <f t="shared" si="283"/>
        <v>0.030627306273062732</v>
      </c>
      <c r="BC94" s="395">
        <f t="shared" si="283"/>
        <v>0.029699248120300753</v>
      </c>
      <c r="BD94" s="395">
        <f>BD86/BD84</f>
        <v>0.031961646024770272</v>
      </c>
      <c r="BE94" s="964">
        <f>BE86/BE84</f>
        <v>0.030570142535633907</v>
      </c>
      <c r="BF94" s="395">
        <f>BF86/BF84</f>
        <v>0.033562474727052163</v>
      </c>
      <c r="BG94" s="395">
        <f>BG86/BG84</f>
        <v>0.031467102574581123</v>
      </c>
      <c r="BH94" s="737">
        <f>BH86/BH84</f>
        <v>0.034482758620689655</v>
      </c>
      <c r="BI94" s="894">
        <v>0.05</v>
      </c>
      <c r="BJ94" s="964">
        <f>BJ86/BJ84</f>
        <v>0.038225445666221887</v>
      </c>
      <c r="BK94" s="894">
        <v>0.05</v>
      </c>
      <c r="BL94" s="894">
        <v>0.05</v>
      </c>
      <c r="BM94" s="894">
        <v>0.05</v>
      </c>
      <c r="BN94" s="894">
        <v>0.05</v>
      </c>
      <c r="BO94" s="964">
        <f>BO86/BO84</f>
        <v>0.05</v>
      </c>
      <c r="BP94" s="993">
        <v>0.05000000000000001</v>
      </c>
      <c r="BQ94" s="993">
        <v>0.05000000000000001</v>
      </c>
      <c r="BR94" s="993">
        <v>0.05000000000000001</v>
      </c>
      <c r="BS94" s="91"/>
    </row>
    <row r="95" spans="1:71" s="42" customFormat="1" ht="15" hidden="1" outlineLevel="1">
      <c r="A95" s="398" t="s">
        <v>364</v>
      </c>
      <c r="B95" s="393"/>
      <c r="C95" s="964">
        <f t="shared" si="284" ref="C95:AM95">C87/C84</f>
        <v>0.073174099130194667</v>
      </c>
      <c r="D95" s="964">
        <f t="shared" si="284"/>
        <v>0.069036740314201664</v>
      </c>
      <c r="E95" s="964">
        <f t="shared" si="284"/>
        <v>0.064240178717375904</v>
      </c>
      <c r="F95" s="964">
        <f t="shared" si="284"/>
        <v>0.058544856131252182</v>
      </c>
      <c r="G95" s="964">
        <f t="shared" si="284"/>
        <v>0.05336951605608322</v>
      </c>
      <c r="H95" s="395">
        <f t="shared" si="284"/>
        <v>0.052233514535570784</v>
      </c>
      <c r="I95" s="395">
        <f t="shared" si="284"/>
        <v>0.051570557899671826</v>
      </c>
      <c r="J95" s="395">
        <f t="shared" si="284"/>
        <v>0.050248874140791655</v>
      </c>
      <c r="K95" s="395">
        <f t="shared" si="284"/>
        <v>0.050013024225058607</v>
      </c>
      <c r="L95" s="964">
        <f t="shared" si="284"/>
        <v>0.051041981274539412</v>
      </c>
      <c r="M95" s="395">
        <f t="shared" si="284"/>
        <v>0.049472830494728302</v>
      </c>
      <c r="N95" s="395">
        <f t="shared" si="284"/>
        <v>0.049860724233983286</v>
      </c>
      <c r="O95" s="395">
        <f t="shared" si="284"/>
        <v>0.049526989426822481</v>
      </c>
      <c r="P95" s="395">
        <f t="shared" si="284"/>
        <v>0.049311294765840223</v>
      </c>
      <c r="Q95" s="964">
        <f t="shared" si="284"/>
        <v>0.049541790119203476</v>
      </c>
      <c r="R95" s="395">
        <f t="shared" si="284"/>
        <v>0.049510193275086045</v>
      </c>
      <c r="S95" s="395">
        <f t="shared" si="284"/>
        <v>0.049029367844698857</v>
      </c>
      <c r="T95" s="395">
        <f t="shared" si="284"/>
        <v>0.049370994540707334</v>
      </c>
      <c r="U95" s="395">
        <f t="shared" si="284"/>
        <v>0.049530099060198118</v>
      </c>
      <c r="V95" s="964">
        <f t="shared" si="284"/>
        <v>0.049357165255566007</v>
      </c>
      <c r="W95" s="395">
        <f t="shared" si="284"/>
        <v>0.048923158734379156</v>
      </c>
      <c r="X95" s="395">
        <f t="shared" si="284"/>
        <v>0.049881235154394299</v>
      </c>
      <c r="Y95" s="395">
        <f t="shared" si="284"/>
        <v>0.049310710498409335</v>
      </c>
      <c r="Z95" s="395">
        <f t="shared" si="284"/>
        <v>0.047760388559093363</v>
      </c>
      <c r="AA95" s="964">
        <f t="shared" si="284"/>
        <v>0.048975246207080117</v>
      </c>
      <c r="AB95" s="395">
        <f t="shared" si="284"/>
        <v>0.049184571576494952</v>
      </c>
      <c r="AC95" s="395">
        <f t="shared" si="284"/>
        <v>0.050468262226847034</v>
      </c>
      <c r="AD95" s="395">
        <f t="shared" si="284"/>
        <v>0.04900662251655629</v>
      </c>
      <c r="AE95" s="395">
        <f t="shared" si="284"/>
        <v>0.044575725026852843</v>
      </c>
      <c r="AF95" s="964">
        <f t="shared" si="284"/>
        <v>0.048336183085624096</v>
      </c>
      <c r="AG95" s="395">
        <f t="shared" si="284"/>
        <v>0.04710144927536232</v>
      </c>
      <c r="AH95" s="395">
        <f t="shared" si="284"/>
        <v>0.04720464135021097</v>
      </c>
      <c r="AI95" s="395">
        <f t="shared" si="284"/>
        <v>0.047290388548057262</v>
      </c>
      <c r="AJ95" s="395">
        <f t="shared" si="284"/>
        <v>0.049399198931909215</v>
      </c>
      <c r="AK95" s="964">
        <f t="shared" si="284"/>
        <v>0.047737216743943052</v>
      </c>
      <c r="AL95" s="395">
        <f t="shared" si="284"/>
        <v>0.048645805942676833</v>
      </c>
      <c r="AM95" s="395">
        <f t="shared" si="284"/>
        <v>0.048382855640283988</v>
      </c>
      <c r="AN95" s="395">
        <f t="shared" si="285" ref="AN95:AQ95">AN87/AN84</f>
        <v>0.048152004164497657</v>
      </c>
      <c r="AO95" s="395">
        <f t="shared" si="285"/>
        <v>0.047412694366556207</v>
      </c>
      <c r="AP95" s="964">
        <f t="shared" si="285"/>
        <v>0.048142606206492744</v>
      </c>
      <c r="AQ95" s="395">
        <f t="shared" si="285"/>
        <v>0.048685238219213743</v>
      </c>
      <c r="AR95" s="395">
        <f t="shared" si="286" ref="AR95:AW95">AR87/AR84</f>
        <v>0.047242016363156503</v>
      </c>
      <c r="AS95" s="395">
        <f t="shared" si="286"/>
        <v>0.047207984893444833</v>
      </c>
      <c r="AT95" s="395">
        <f t="shared" si="286"/>
        <v>0.045973808860406799</v>
      </c>
      <c r="AU95" s="964">
        <f t="shared" si="286"/>
        <v>0.047303182579564486</v>
      </c>
      <c r="AV95" s="395">
        <f t="shared" si="286"/>
        <v>0.048581774290887149</v>
      </c>
      <c r="AW95" s="395">
        <f t="shared" si="286"/>
        <v>0.046314416177429873</v>
      </c>
      <c r="AX95" s="395">
        <f t="shared" si="287" ref="AX95:BC95">AX87/AX84</f>
        <v>0.047193421523060421</v>
      </c>
      <c r="AY95" s="395">
        <f t="shared" si="287"/>
        <v>0.047180243273129377</v>
      </c>
      <c r="AZ95" s="964">
        <f t="shared" si="287"/>
        <v>0.047350714886459207</v>
      </c>
      <c r="BA95" s="395">
        <f t="shared" si="287"/>
        <v>0.049462365591397849</v>
      </c>
      <c r="BB95" s="395">
        <f t="shared" si="287"/>
        <v>0.047232472324723246</v>
      </c>
      <c r="BC95" s="395">
        <f t="shared" si="287"/>
        <v>0.042105263157894736</v>
      </c>
      <c r="BD95" s="395">
        <f>BD87/BD84</f>
        <v>0.045545345585297645</v>
      </c>
      <c r="BE95" s="964">
        <f>BE87/BE84</f>
        <v>0.046042760690172546</v>
      </c>
      <c r="BF95" s="395">
        <f>BF87/BF84</f>
        <v>0.046097856854023456</v>
      </c>
      <c r="BG95" s="395">
        <f>BG87/BG84</f>
        <v>0.042909685328974254</v>
      </c>
      <c r="BH95" s="737">
        <f>BH87/BH84</f>
        <v>0.046257359125315388</v>
      </c>
      <c r="BI95" s="894">
        <v>0.08</v>
      </c>
      <c r="BJ95" s="964">
        <f>BJ87/BJ84</f>
        <v>0.055584805317981982</v>
      </c>
      <c r="BK95" s="894">
        <v>0.05</v>
      </c>
      <c r="BL95" s="894">
        <v>0.05</v>
      </c>
      <c r="BM95" s="894">
        <v>0.05</v>
      </c>
      <c r="BN95" s="894">
        <v>0.05</v>
      </c>
      <c r="BO95" s="964">
        <f>BO87/BO84</f>
        <v>0.05</v>
      </c>
      <c r="BP95" s="993">
        <v>0.05</v>
      </c>
      <c r="BQ95" s="993">
        <v>0.05</v>
      </c>
      <c r="BR95" s="993">
        <v>0.05</v>
      </c>
      <c r="BS95" s="91"/>
    </row>
    <row r="96" spans="1:71" s="42" customFormat="1" ht="15" hidden="1" outlineLevel="1">
      <c r="A96" s="399" t="s">
        <v>365</v>
      </c>
      <c r="B96" s="400"/>
      <c r="C96" s="966">
        <f t="shared" si="288" ref="C96:AM96">C88/C84</f>
        <v>0.093676653320447334</v>
      </c>
      <c r="D96" s="966">
        <f t="shared" si="288"/>
        <v>0.090192151217374977</v>
      </c>
      <c r="E96" s="966">
        <f t="shared" si="288"/>
        <v>0.090339454040211403</v>
      </c>
      <c r="F96" s="966">
        <f t="shared" si="288"/>
        <v>0.087917019897272228</v>
      </c>
      <c r="G96" s="966">
        <f t="shared" si="288"/>
        <v>0.087686567164179108</v>
      </c>
      <c r="H96" s="402">
        <f t="shared" si="288"/>
        <v>0.089576932167336323</v>
      </c>
      <c r="I96" s="402">
        <f t="shared" si="288"/>
        <v>0.085794655414908577</v>
      </c>
      <c r="J96" s="402">
        <f t="shared" si="288"/>
        <v>0.091727897606067782</v>
      </c>
      <c r="K96" s="402">
        <f t="shared" si="288"/>
        <v>0.10080750195363376</v>
      </c>
      <c r="L96" s="966">
        <f t="shared" si="288"/>
        <v>0.091754756871035945</v>
      </c>
      <c r="M96" s="402">
        <f t="shared" si="288"/>
        <v>0.086509867531765344</v>
      </c>
      <c r="N96" s="402">
        <f t="shared" si="288"/>
        <v>0.095543175487465187</v>
      </c>
      <c r="O96" s="402">
        <f t="shared" si="288"/>
        <v>0.095715080690038951</v>
      </c>
      <c r="P96" s="402">
        <f t="shared" si="288"/>
        <v>0.090633608815426994</v>
      </c>
      <c r="Q96" s="966">
        <f t="shared" si="288"/>
        <v>0.09205539860814442</v>
      </c>
      <c r="R96" s="402">
        <f t="shared" si="288"/>
        <v>0.092666137145882982</v>
      </c>
      <c r="S96" s="402">
        <f t="shared" si="288"/>
        <v>0.098805375808860132</v>
      </c>
      <c r="T96" s="402">
        <f t="shared" si="288"/>
        <v>0.097080465226679333</v>
      </c>
      <c r="U96" s="402">
        <f t="shared" si="288"/>
        <v>0.097028194056388115</v>
      </c>
      <c r="V96" s="966">
        <f t="shared" si="288"/>
        <v>0.096456569457510188</v>
      </c>
      <c r="W96" s="402">
        <f t="shared" si="288"/>
        <v>0.097314544004254183</v>
      </c>
      <c r="X96" s="402">
        <f t="shared" si="288"/>
        <v>0.097651095275798364</v>
      </c>
      <c r="Y96" s="402">
        <f t="shared" si="288"/>
        <v>0.10153764581124072</v>
      </c>
      <c r="Z96" s="402">
        <f t="shared" si="288"/>
        <v>0.10847274689692391</v>
      </c>
      <c r="AA96" s="966">
        <f t="shared" si="288"/>
        <v>0.10121107266435986</v>
      </c>
      <c r="AB96" s="402">
        <f t="shared" si="288"/>
        <v>0.10173440331348693</v>
      </c>
      <c r="AC96" s="402">
        <f t="shared" si="288"/>
        <v>0.10327783558792925</v>
      </c>
      <c r="AD96" s="402">
        <f t="shared" si="288"/>
        <v>0.11125827814569536</v>
      </c>
      <c r="AE96" s="402">
        <f t="shared" si="288"/>
        <v>0.11546723952738991</v>
      </c>
      <c r="AF96" s="966">
        <f t="shared" si="288"/>
        <v>0.10785216361962384</v>
      </c>
      <c r="AG96" s="402">
        <f t="shared" si="288"/>
        <v>0.1048136645962733</v>
      </c>
      <c r="AH96" s="402">
        <f t="shared" si="288"/>
        <v>0.11075949367088607</v>
      </c>
      <c r="AI96" s="402">
        <f t="shared" si="288"/>
        <v>0.11298568507157464</v>
      </c>
      <c r="AJ96" s="402">
        <f t="shared" si="288"/>
        <v>0.1246995994659546</v>
      </c>
      <c r="AK96" s="966">
        <f t="shared" si="288"/>
        <v>0.11323711878795795</v>
      </c>
      <c r="AL96" s="402">
        <f t="shared" si="288"/>
        <v>0.10623192216671049</v>
      </c>
      <c r="AM96" s="402">
        <f t="shared" si="288"/>
        <v>0.11043912700499606</v>
      </c>
      <c r="AN96" s="402">
        <f t="shared" si="289" ref="AN96:AQ96">AN88/AN84</f>
        <v>0.13014055179593961</v>
      </c>
      <c r="AO96" s="402">
        <f t="shared" si="289"/>
        <v>0.13994392046902882</v>
      </c>
      <c r="AP96" s="966">
        <f t="shared" si="289"/>
        <v>0.12185283976319042</v>
      </c>
      <c r="AQ96" s="402">
        <f t="shared" si="289"/>
        <v>0.11976047904191617</v>
      </c>
      <c r="AR96" s="402">
        <f t="shared" si="290" ref="AR96:AW96">AR88/AR84</f>
        <v>0.11559778305621536</v>
      </c>
      <c r="AS96" s="402">
        <f t="shared" si="290"/>
        <v>0.12462908011869436</v>
      </c>
      <c r="AT96" s="402">
        <f t="shared" si="290"/>
        <v>0.13597102256896071</v>
      </c>
      <c r="AU96" s="966">
        <f t="shared" si="290"/>
        <v>0.12388609715242881</v>
      </c>
      <c r="AV96" s="402">
        <f t="shared" si="290"/>
        <v>0.12341581170790586</v>
      </c>
      <c r="AW96" s="402">
        <f t="shared" si="290"/>
        <v>0.12491846053489888</v>
      </c>
      <c r="AX96" s="402">
        <f t="shared" si="291" ref="AX96:BC96">AX88/AX84</f>
        <v>0.12406149445834823</v>
      </c>
      <c r="AY96" s="402">
        <f t="shared" si="291"/>
        <v>0.13896056026538886</v>
      </c>
      <c r="AZ96" s="966">
        <f t="shared" si="291"/>
        <v>0.12758620689655173</v>
      </c>
      <c r="BA96" s="402">
        <f t="shared" si="291"/>
        <v>0.11684587813620072</v>
      </c>
      <c r="BB96" s="402">
        <f t="shared" si="291"/>
        <v>0.11771217712177122</v>
      </c>
      <c r="BC96" s="402">
        <f t="shared" si="291"/>
        <v>0.11842105263157894</v>
      </c>
      <c r="BD96" s="402">
        <f>BD88/BD84</f>
        <v>0.13503795445465441</v>
      </c>
      <c r="BE96" s="966">
        <f>BE88/BE84</f>
        <v>0.12181170292573143</v>
      </c>
      <c r="BF96" s="402">
        <f>BF88/BF84</f>
        <v>0.10028305701577032</v>
      </c>
      <c r="BG96" s="402">
        <f>BG88/BG84</f>
        <v>0.10298324478953821</v>
      </c>
      <c r="BH96" s="747">
        <f>BH88/BH84</f>
        <v>0.11984861227922625</v>
      </c>
      <c r="BI96" s="896">
        <v>0.12</v>
      </c>
      <c r="BJ96" s="966">
        <f>BJ88/BJ84</f>
        <v>0.1113046497043637</v>
      </c>
      <c r="BK96" s="896">
        <v>0.12</v>
      </c>
      <c r="BL96" s="896">
        <v>0.12</v>
      </c>
      <c r="BM96" s="896">
        <v>0.12</v>
      </c>
      <c r="BN96" s="896">
        <v>0.12</v>
      </c>
      <c r="BO96" s="966">
        <f>BO88/BO84</f>
        <v>0.12000000000000001</v>
      </c>
      <c r="BP96" s="994">
        <v>0.12</v>
      </c>
      <c r="BQ96" s="994">
        <v>0.12</v>
      </c>
      <c r="BR96" s="994">
        <v>0.12</v>
      </c>
      <c r="BS96" s="91"/>
    </row>
    <row r="97" spans="1:71" s="41" customFormat="1" ht="15" hidden="1" outlineLevel="1">
      <c r="A97" s="405" t="s">
        <v>366</v>
      </c>
      <c r="B97" s="406"/>
      <c r="C97" s="995">
        <f t="shared" si="292" ref="C97:AM97">C89/C84</f>
        <v>0.19329007317409913</v>
      </c>
      <c r="D97" s="995">
        <f t="shared" si="292"/>
        <v>0.20548288164236089</v>
      </c>
      <c r="E97" s="995">
        <f t="shared" si="292"/>
        <v>0.20863074156813599</v>
      </c>
      <c r="F97" s="995">
        <f t="shared" si="292"/>
        <v>0.19468408716900215</v>
      </c>
      <c r="G97" s="995">
        <f t="shared" si="292"/>
        <v>0.20511080958842154</v>
      </c>
      <c r="H97" s="158">
        <f t="shared" si="292"/>
        <v>0.22051524462302055</v>
      </c>
      <c r="I97" s="158">
        <f t="shared" si="292"/>
        <v>0.21729957805907174</v>
      </c>
      <c r="J97" s="158">
        <f t="shared" si="292"/>
        <v>0.19625503673856365</v>
      </c>
      <c r="K97" s="158">
        <f t="shared" si="292"/>
        <v>0.20057306590257878</v>
      </c>
      <c r="L97" s="995">
        <f t="shared" si="292"/>
        <v>0.20887949260042282</v>
      </c>
      <c r="M97" s="158">
        <f t="shared" si="292"/>
        <v>0.22141119221411193</v>
      </c>
      <c r="N97" s="158">
        <f t="shared" si="292"/>
        <v>0.21086350974930362</v>
      </c>
      <c r="O97" s="158">
        <f t="shared" si="292"/>
        <v>0.21953255425709517</v>
      </c>
      <c r="P97" s="158">
        <f t="shared" si="292"/>
        <v>0.2231404958677686</v>
      </c>
      <c r="Q97" s="995">
        <f t="shared" si="292"/>
        <v>0.21876937917728934</v>
      </c>
      <c r="R97" s="158">
        <f t="shared" si="292"/>
        <v>0.21339687582737624</v>
      </c>
      <c r="S97" s="158">
        <f t="shared" si="292"/>
        <v>0.19960179193628672</v>
      </c>
      <c r="T97" s="158">
        <f t="shared" si="292"/>
        <v>0.19629717540944694</v>
      </c>
      <c r="U97" s="158">
        <f t="shared" si="292"/>
        <v>0.18110236220472442</v>
      </c>
      <c r="V97" s="995">
        <f t="shared" si="292"/>
        <v>0.19742866102226403</v>
      </c>
      <c r="W97" s="158">
        <f t="shared" si="292"/>
        <v>0.2044668971018346</v>
      </c>
      <c r="X97" s="158">
        <f t="shared" si="292"/>
        <v>0.20876220638690948</v>
      </c>
      <c r="Y97" s="158">
        <f t="shared" si="292"/>
        <v>0.19830328738069988</v>
      </c>
      <c r="Z97" s="158">
        <f t="shared" si="292"/>
        <v>0.20129519697787371</v>
      </c>
      <c r="AA97" s="995">
        <f t="shared" si="292"/>
        <v>0.2032206547777482</v>
      </c>
      <c r="AB97" s="158">
        <f t="shared" si="292"/>
        <v>0.21175252394512037</v>
      </c>
      <c r="AC97" s="158">
        <f t="shared" si="292"/>
        <v>0.21748178980228927</v>
      </c>
      <c r="AD97" s="158">
        <f t="shared" si="292"/>
        <v>0.20026490066225167</v>
      </c>
      <c r="AE97" s="158">
        <f t="shared" si="292"/>
        <v>0.21428571428571427</v>
      </c>
      <c r="AF97" s="995">
        <f t="shared" si="292"/>
        <v>0.21096935420228857</v>
      </c>
      <c r="AG97" s="158">
        <f t="shared" si="292"/>
        <v>0.2318840579710145</v>
      </c>
      <c r="AH97" s="158">
        <f t="shared" si="292"/>
        <v>0.21914556962025317</v>
      </c>
      <c r="AI97" s="158">
        <f t="shared" si="292"/>
        <v>0.21421267893660531</v>
      </c>
      <c r="AJ97" s="158">
        <f t="shared" si="292"/>
        <v>0.18611481975967958</v>
      </c>
      <c r="AK97" s="995">
        <f t="shared" si="292"/>
        <v>0.21302161562071442</v>
      </c>
      <c r="AL97" s="371">
        <f t="shared" si="292"/>
        <v>0.22482250854588484</v>
      </c>
      <c r="AM97" s="158">
        <f t="shared" si="292"/>
        <v>0.22061530370759927</v>
      </c>
      <c r="AN97" s="158">
        <f t="shared" si="293" ref="AN97:AQ97">AN89/AN84</f>
        <v>0.19442998438313377</v>
      </c>
      <c r="AO97" s="158">
        <f t="shared" si="293"/>
        <v>0.20927861330614325</v>
      </c>
      <c r="AP97" s="995">
        <f t="shared" si="293"/>
        <v>0.21228287034025112</v>
      </c>
      <c r="AQ97" s="371">
        <f t="shared" si="293"/>
        <v>0.23092944545691227</v>
      </c>
      <c r="AR97" s="158">
        <f t="shared" si="294" ref="AR97:AW97">AR89/AR84</f>
        <v>0.2649775666402745</v>
      </c>
      <c r="AS97" s="158">
        <f t="shared" si="294"/>
        <v>0.26382519557593742</v>
      </c>
      <c r="AT97" s="158">
        <f t="shared" si="294"/>
        <v>0.24714405126776262</v>
      </c>
      <c r="AU97" s="995">
        <f t="shared" si="294"/>
        <v>0.25152428810720268</v>
      </c>
      <c r="AV97" s="371">
        <f t="shared" si="294"/>
        <v>0.26282438141219072</v>
      </c>
      <c r="AW97" s="158">
        <f t="shared" si="294"/>
        <v>0.28473581213307242</v>
      </c>
      <c r="AX97" s="158">
        <f t="shared" si="295" ref="AX97:BJ97">AX89/AX84</f>
        <v>0.29245620307472292</v>
      </c>
      <c r="AY97" s="158">
        <f t="shared" si="295"/>
        <v>0.26575746406192408</v>
      </c>
      <c r="AZ97" s="995">
        <f t="shared" si="295"/>
        <v>0.275946173254836</v>
      </c>
      <c r="BA97" s="371">
        <f t="shared" si="296" ref="BA97:BI97">BA89/BA84</f>
        <v>0.28243727598566309</v>
      </c>
      <c r="BB97" s="158">
        <f t="shared" si="296"/>
        <v>0.3033210332103321</v>
      </c>
      <c r="BC97" s="158">
        <f t="shared" si="296"/>
        <v>0.32631578947368423</v>
      </c>
      <c r="BD97" s="158">
        <f t="shared" si="296"/>
        <v>0.30163803435876946</v>
      </c>
      <c r="BE97" s="995">
        <f t="shared" si="296"/>
        <v>0.30335708927231808</v>
      </c>
      <c r="BF97" s="371">
        <f>BF89/BF84</f>
        <v>0.3279417711281844</v>
      </c>
      <c r="BG97" s="158">
        <f>BG89/BG84</f>
        <v>0.35349407437678793</v>
      </c>
      <c r="BH97" s="794">
        <f>BH89/BH84</f>
        <v>0.45121951219512196</v>
      </c>
      <c r="BI97" s="371">
        <f t="shared" si="296"/>
        <v>0.16999999999999998</v>
      </c>
      <c r="BJ97" s="996">
        <f t="shared" si="295"/>
        <v>0.31450798440855066</v>
      </c>
      <c r="BK97" s="371">
        <f t="shared" si="297" ref="BK97:BR97">BK89/BK84</f>
        <v>0.24000000000000005</v>
      </c>
      <c r="BL97" s="371">
        <f t="shared" si="297"/>
        <v>0.23</v>
      </c>
      <c r="BM97" s="371">
        <f t="shared" si="297"/>
        <v>0.2299999999999999</v>
      </c>
      <c r="BN97" s="371">
        <f t="shared" si="297"/>
        <v>0.23</v>
      </c>
      <c r="BO97" s="996">
        <f t="shared" si="297"/>
        <v>0.2322555066922776</v>
      </c>
      <c r="BP97" s="996">
        <f t="shared" si="297"/>
        <v>0.22999999999999995</v>
      </c>
      <c r="BQ97" s="996">
        <f t="shared" si="297"/>
        <v>0.22999999999999998</v>
      </c>
      <c r="BR97" s="996">
        <f t="shared" si="297"/>
        <v>0.2299999999999999</v>
      </c>
      <c r="BS97" s="158"/>
    </row>
    <row r="98" spans="1:71" s="42" customFormat="1" ht="15" hidden="1" outlineLevel="1">
      <c r="A98" s="405"/>
      <c r="B98" s="393"/>
      <c r="C98" s="964"/>
      <c r="D98" s="964"/>
      <c r="E98" s="964"/>
      <c r="F98" s="964"/>
      <c r="G98" s="964"/>
      <c r="H98" s="395"/>
      <c r="I98" s="395"/>
      <c r="J98" s="395"/>
      <c r="K98" s="395"/>
      <c r="L98" s="964"/>
      <c r="M98" s="395"/>
      <c r="N98" s="395"/>
      <c r="O98" s="395"/>
      <c r="P98" s="395"/>
      <c r="Q98" s="964"/>
      <c r="R98" s="395"/>
      <c r="S98" s="395"/>
      <c r="T98" s="395"/>
      <c r="U98" s="395"/>
      <c r="V98" s="964"/>
      <c r="W98" s="395"/>
      <c r="X98" s="395"/>
      <c r="Y98" s="395"/>
      <c r="Z98" s="395"/>
      <c r="AA98" s="964"/>
      <c r="AB98" s="395"/>
      <c r="AC98" s="395"/>
      <c r="AD98" s="395"/>
      <c r="AE98" s="395"/>
      <c r="AF98" s="964"/>
      <c r="AG98" s="395"/>
      <c r="AH98" s="395"/>
      <c r="AI98" s="395"/>
      <c r="AJ98" s="395"/>
      <c r="AK98" s="964"/>
      <c r="AL98" s="395"/>
      <c r="AM98" s="395"/>
      <c r="AN98" s="395"/>
      <c r="AO98" s="395"/>
      <c r="AP98" s="964"/>
      <c r="AQ98" s="395"/>
      <c r="AR98" s="395"/>
      <c r="AS98" s="395"/>
      <c r="AT98" s="395"/>
      <c r="AU98" s="964"/>
      <c r="AV98" s="395"/>
      <c r="AW98" s="395"/>
      <c r="AX98" s="395"/>
      <c r="AY98" s="395"/>
      <c r="AZ98" s="964"/>
      <c r="BA98" s="395"/>
      <c r="BB98" s="395"/>
      <c r="BC98" s="395"/>
      <c r="BD98" s="395"/>
      <c r="BE98" s="964"/>
      <c r="BF98" s="395"/>
      <c r="BG98" s="395"/>
      <c r="BH98" s="737"/>
      <c r="BI98" s="395"/>
      <c r="BJ98" s="964"/>
      <c r="BK98" s="395"/>
      <c r="BL98" s="395"/>
      <c r="BM98" s="395"/>
      <c r="BN98" s="395"/>
      <c r="BO98" s="964"/>
      <c r="BP98" s="964"/>
      <c r="BQ98" s="964"/>
      <c r="BR98" s="964"/>
      <c r="BS98" s="91"/>
    </row>
    <row r="99" spans="1:71" s="455" customFormat="1" ht="15" hidden="1" outlineLevel="1">
      <c r="A99" s="574" t="s">
        <v>325</v>
      </c>
      <c r="B99" s="451"/>
      <c r="C99" s="997">
        <v>93.49</v>
      </c>
      <c r="D99" s="997">
        <v>87.69</v>
      </c>
      <c r="E99" s="997">
        <v>79.75</v>
      </c>
      <c r="F99" s="997">
        <v>79.81</v>
      </c>
      <c r="G99" s="997">
        <v>97.54</v>
      </c>
      <c r="H99" s="899">
        <v>102.70</v>
      </c>
      <c r="I99" s="899">
        <v>102.15000000000001</v>
      </c>
      <c r="J99" s="899">
        <v>103.92</v>
      </c>
      <c r="K99" s="453">
        <f>L99*4-J99-I99-H99</f>
        <v>113.06999999999995</v>
      </c>
      <c r="L99" s="997">
        <v>105.45999999999999</v>
      </c>
      <c r="M99" s="899">
        <v>119.16</v>
      </c>
      <c r="N99" s="899">
        <v>121.20</v>
      </c>
      <c r="O99" s="899">
        <v>122.15000000000001</v>
      </c>
      <c r="P99" s="453">
        <f>Q99*4-O99-N99-M99</f>
        <v>121.44999999999996</v>
      </c>
      <c r="Q99" s="997">
        <v>120.98999999999999</v>
      </c>
      <c r="R99" s="899">
        <v>115.34999999999999</v>
      </c>
      <c r="S99" s="899">
        <v>108.28</v>
      </c>
      <c r="T99" s="899">
        <v>102.37</v>
      </c>
      <c r="U99" s="453">
        <f>V99*4-T99-S99-R99</f>
        <v>108.80000000000001</v>
      </c>
      <c r="V99" s="997">
        <v>108.70</v>
      </c>
      <c r="W99" s="899">
        <v>113.56</v>
      </c>
      <c r="X99" s="899">
        <v>111.09999999999999</v>
      </c>
      <c r="Y99" s="899">
        <v>111.03</v>
      </c>
      <c r="Z99" s="453">
        <f>AA99*4-Y99-X99-W99</f>
        <v>112.95000000000002</v>
      </c>
      <c r="AA99" s="997">
        <v>112.16</v>
      </c>
      <c r="AB99" s="899">
        <v>108.05</v>
      </c>
      <c r="AC99" s="899">
        <v>109.14</v>
      </c>
      <c r="AD99" s="899">
        <v>111.48</v>
      </c>
      <c r="AE99" s="899">
        <v>112.87</v>
      </c>
      <c r="AF99" s="997">
        <v>110.39</v>
      </c>
      <c r="AG99" s="899">
        <v>110.23999999999999</v>
      </c>
      <c r="AH99" s="899">
        <v>109.94</v>
      </c>
      <c r="AI99" s="899">
        <v>107.31</v>
      </c>
      <c r="AJ99" s="899">
        <v>108.79000000000001</v>
      </c>
      <c r="AK99" s="997">
        <v>109.06999999999999</v>
      </c>
      <c r="AL99" s="899">
        <v>108.84</v>
      </c>
      <c r="AM99" s="899">
        <v>107.65000000000001</v>
      </c>
      <c r="AN99" s="899">
        <v>106.23</v>
      </c>
      <c r="AO99" s="899">
        <v>104.56999999999999</v>
      </c>
      <c r="AP99" s="997">
        <v>106.86</v>
      </c>
      <c r="AQ99" s="899">
        <v>105.88</v>
      </c>
      <c r="AR99" s="899">
        <v>109.48</v>
      </c>
      <c r="AS99" s="899">
        <v>110.11</v>
      </c>
      <c r="AT99" s="899">
        <v>113.70</v>
      </c>
      <c r="AU99" s="997">
        <v>109.79000000000001</v>
      </c>
      <c r="AV99" s="899">
        <v>116.18000000000001</v>
      </c>
      <c r="AW99" s="899">
        <v>129.38999999999999</v>
      </c>
      <c r="AX99" s="899">
        <v>137.08000000000001</v>
      </c>
      <c r="AY99" s="899">
        <v>141.87</v>
      </c>
      <c r="AZ99" s="997">
        <v>130.16999999999999</v>
      </c>
      <c r="BA99" s="899">
        <v>132.30000000000001</v>
      </c>
      <c r="BB99" s="899">
        <v>137.53</v>
      </c>
      <c r="BC99" s="899">
        <v>144.97</v>
      </c>
      <c r="BD99" s="899">
        <v>148.11000000000001</v>
      </c>
      <c r="BE99" s="997">
        <v>140.56999999999999</v>
      </c>
      <c r="BF99" s="899">
        <v>148.66999999999999</v>
      </c>
      <c r="BG99" s="899">
        <v>155.69999999999999</v>
      </c>
      <c r="BH99" s="900">
        <v>147.94999999999999</v>
      </c>
      <c r="BI99" s="453"/>
      <c r="BJ99" s="998"/>
      <c r="BK99" s="453"/>
      <c r="BL99" s="453"/>
      <c r="BM99" s="453"/>
      <c r="BN99" s="453"/>
      <c r="BO99" s="998"/>
      <c r="BP99" s="998"/>
      <c r="BQ99" s="998"/>
      <c r="BR99" s="998"/>
      <c r="BS99" s="454"/>
    </row>
    <row r="100" spans="1:71" s="223" customFormat="1" ht="15" hidden="1" outlineLevel="1">
      <c r="A100" s="387"/>
      <c r="B100" s="388"/>
      <c r="C100" s="999"/>
      <c r="D100" s="999"/>
      <c r="E100" s="999"/>
      <c r="F100" s="999"/>
      <c r="G100" s="999"/>
      <c r="H100" s="832"/>
      <c r="I100" s="832"/>
      <c r="J100" s="832"/>
      <c r="K100" s="832"/>
      <c r="L100" s="999"/>
      <c r="M100" s="832"/>
      <c r="N100" s="832"/>
      <c r="O100" s="832"/>
      <c r="P100" s="832"/>
      <c r="Q100" s="999"/>
      <c r="R100" s="832"/>
      <c r="S100" s="832"/>
      <c r="T100" s="832"/>
      <c r="U100" s="832"/>
      <c r="V100" s="999"/>
      <c r="W100" s="832"/>
      <c r="X100" s="832"/>
      <c r="Y100" s="832"/>
      <c r="Z100" s="832"/>
      <c r="AA100" s="999"/>
      <c r="AB100" s="832"/>
      <c r="AC100" s="832"/>
      <c r="AD100" s="832"/>
      <c r="AE100" s="832"/>
      <c r="AF100" s="999"/>
      <c r="AG100" s="832"/>
      <c r="AH100" s="832"/>
      <c r="AI100" s="832"/>
      <c r="AJ100" s="832"/>
      <c r="AK100" s="999"/>
      <c r="AL100" s="832"/>
      <c r="AM100" s="832"/>
      <c r="AN100" s="832"/>
      <c r="AO100" s="832"/>
      <c r="AP100" s="999"/>
      <c r="AQ100" s="832"/>
      <c r="AR100" s="832"/>
      <c r="AS100" s="832"/>
      <c r="AT100" s="832"/>
      <c r="AU100" s="999"/>
      <c r="AV100" s="832"/>
      <c r="AW100" s="832"/>
      <c r="AX100" s="832"/>
      <c r="AY100" s="832"/>
      <c r="AZ100" s="999"/>
      <c r="BA100" s="832"/>
      <c r="BB100" s="832"/>
      <c r="BC100" s="832"/>
      <c r="BD100" s="832"/>
      <c r="BE100" s="999"/>
      <c r="BF100" s="832"/>
      <c r="BG100" s="832"/>
      <c r="BH100" s="833"/>
      <c r="BI100" s="832"/>
      <c r="BJ100" s="999"/>
      <c r="BK100" s="832"/>
      <c r="BL100" s="832"/>
      <c r="BM100" s="832"/>
      <c r="BN100" s="832"/>
      <c r="BO100" s="999"/>
      <c r="BP100" s="999"/>
      <c r="BQ100" s="999"/>
      <c r="BR100" s="999"/>
      <c r="BS100" s="816"/>
    </row>
    <row r="101" spans="1:71" s="43" customFormat="1" ht="15" hidden="1" outlineLevel="1">
      <c r="A101" s="812" t="s">
        <v>375</v>
      </c>
      <c r="B101" s="812"/>
      <c r="C101" s="828"/>
      <c r="D101" s="828"/>
      <c r="E101" s="828"/>
      <c r="F101" s="828"/>
      <c r="G101" s="828"/>
      <c r="H101" s="828"/>
      <c r="I101" s="828"/>
      <c r="J101" s="828"/>
      <c r="K101" s="828"/>
      <c r="L101" s="828"/>
      <c r="M101" s="828"/>
      <c r="N101" s="828"/>
      <c r="O101" s="828"/>
      <c r="P101" s="828"/>
      <c r="Q101" s="828"/>
      <c r="R101" s="828"/>
      <c r="S101" s="828"/>
      <c r="T101" s="828"/>
      <c r="U101" s="828"/>
      <c r="V101" s="828"/>
      <c r="W101" s="828"/>
      <c r="X101" s="828"/>
      <c r="Y101" s="828"/>
      <c r="Z101" s="828"/>
      <c r="AA101" s="828"/>
      <c r="AB101" s="828"/>
      <c r="AC101" s="828"/>
      <c r="AD101" s="828"/>
      <c r="AE101" s="828"/>
      <c r="AF101" s="828"/>
      <c r="AG101" s="828"/>
      <c r="AH101" s="828"/>
      <c r="AI101" s="828"/>
      <c r="AJ101" s="828"/>
      <c r="AK101" s="828"/>
      <c r="AL101" s="828"/>
      <c r="AM101" s="828"/>
      <c r="AN101" s="828"/>
      <c r="AO101" s="828"/>
      <c r="AP101" s="828"/>
      <c r="AQ101" s="828"/>
      <c r="AR101" s="828"/>
      <c r="AS101" s="828"/>
      <c r="AT101" s="828"/>
      <c r="AU101" s="828"/>
      <c r="AV101" s="828"/>
      <c r="AW101" s="828"/>
      <c r="AX101" s="828"/>
      <c r="AY101" s="828"/>
      <c r="AZ101" s="828"/>
      <c r="BA101" s="828"/>
      <c r="BB101" s="828"/>
      <c r="BC101" s="828"/>
      <c r="BD101" s="828"/>
      <c r="BE101" s="828"/>
      <c r="BF101" s="828"/>
      <c r="BG101" s="828"/>
      <c r="BH101" s="829"/>
      <c r="BI101" s="828"/>
      <c r="BJ101" s="828"/>
      <c r="BK101" s="828"/>
      <c r="BL101" s="828"/>
      <c r="BM101" s="828"/>
      <c r="BN101" s="828"/>
      <c r="BO101" s="828"/>
      <c r="BP101" s="828"/>
      <c r="BQ101" s="828"/>
      <c r="BR101" s="828"/>
      <c r="BS101" s="475"/>
    </row>
    <row r="102" spans="1:71" s="44" customFormat="1" ht="15" hidden="1" outlineLevel="1">
      <c r="A102" s="447" t="s">
        <v>376</v>
      </c>
      <c r="B102" s="397"/>
      <c r="C102" s="978"/>
      <c r="D102" s="978"/>
      <c r="E102" s="978"/>
      <c r="F102" s="978"/>
      <c r="G102" s="978"/>
      <c r="H102" s="185"/>
      <c r="I102" s="185"/>
      <c r="J102" s="185"/>
      <c r="K102" s="185"/>
      <c r="L102" s="978"/>
      <c r="M102" s="185"/>
      <c r="N102" s="185"/>
      <c r="O102" s="185"/>
      <c r="P102" s="185"/>
      <c r="Q102" s="978"/>
      <c r="R102" s="185"/>
      <c r="S102" s="185"/>
      <c r="T102" s="185"/>
      <c r="U102" s="185"/>
      <c r="V102" s="978"/>
      <c r="W102" s="185">
        <f>V104</f>
        <v>97096</v>
      </c>
      <c r="X102" s="185">
        <f>W104</f>
        <v>101474</v>
      </c>
      <c r="Y102" s="185">
        <f>X104</f>
        <v>102377</v>
      </c>
      <c r="Z102" s="185">
        <f>Y104</f>
        <v>102103</v>
      </c>
      <c r="AA102" s="978">
        <f>V104</f>
        <v>97096</v>
      </c>
      <c r="AB102" s="185">
        <f>AA104</f>
        <v>104269</v>
      </c>
      <c r="AC102" s="185">
        <f>AB104</f>
        <v>113132</v>
      </c>
      <c r="AD102" s="185">
        <f>AC104</f>
        <v>108666</v>
      </c>
      <c r="AE102" s="185">
        <f>AD104</f>
        <v>105241</v>
      </c>
      <c r="AF102" s="978">
        <f>AA104</f>
        <v>104269</v>
      </c>
      <c r="AG102" s="185">
        <f>AF104</f>
        <v>106613</v>
      </c>
      <c r="AH102" s="185">
        <f>AG104</f>
        <v>111306</v>
      </c>
      <c r="AI102" s="185">
        <f>AH104</f>
        <v>116282</v>
      </c>
      <c r="AJ102" s="185">
        <f>AI104</f>
        <v>117324</v>
      </c>
      <c r="AK102" s="978">
        <f>AF104</f>
        <v>106613</v>
      </c>
      <c r="AL102" s="185">
        <f>AK104</f>
        <v>115594</v>
      </c>
      <c r="AM102" s="185">
        <f>AL104</f>
        <v>115195</v>
      </c>
      <c r="AN102" s="185">
        <f>AM104</f>
        <v>118063</v>
      </c>
      <c r="AO102" s="185">
        <f>AN104</f>
        <v>121562</v>
      </c>
      <c r="AP102" s="978">
        <f>AK104</f>
        <v>115594</v>
      </c>
      <c r="AQ102" s="185">
        <f>AP104</f>
        <v>124378</v>
      </c>
      <c r="AR102" s="185">
        <f>AQ104</f>
        <v>118685</v>
      </c>
      <c r="AS102" s="185">
        <f>AR104</f>
        <v>120345</v>
      </c>
      <c r="AT102" s="185">
        <f>AS104</f>
        <v>118861</v>
      </c>
      <c r="AU102" s="978">
        <f>AP104</f>
        <v>124378</v>
      </c>
      <c r="AV102" s="185">
        <f>AU104</f>
        <v>116587</v>
      </c>
      <c r="AW102" s="185">
        <f>AV104</f>
        <v>108022</v>
      </c>
      <c r="AX102" s="185">
        <f>AW104</f>
        <v>97157</v>
      </c>
      <c r="AY102" s="185">
        <f>AX104</f>
        <v>91519</v>
      </c>
      <c r="AZ102" s="978">
        <f>AU104</f>
        <v>116587</v>
      </c>
      <c r="BA102" s="185">
        <f>AZ104</f>
        <v>94689</v>
      </c>
      <c r="BB102" s="185">
        <f>BA104</f>
        <v>95661</v>
      </c>
      <c r="BC102" s="185">
        <f>BB104</f>
        <v>91215</v>
      </c>
      <c r="BD102" s="185">
        <f>BC104</f>
        <v>85948</v>
      </c>
      <c r="BE102" s="978">
        <f>AZ104</f>
        <v>94689</v>
      </c>
      <c r="BF102" s="185">
        <f>BE104</f>
        <v>86745</v>
      </c>
      <c r="BG102" s="185">
        <f>BF104</f>
        <v>84347</v>
      </c>
      <c r="BH102" s="552">
        <f>BG104</f>
        <v>79463</v>
      </c>
      <c r="BI102" s="185">
        <f>BH104</f>
        <v>86708</v>
      </c>
      <c r="BJ102" s="978">
        <f>BE104</f>
        <v>86745</v>
      </c>
      <c r="BK102" s="185">
        <f>BJ104</f>
        <v>88479.900000000009</v>
      </c>
      <c r="BL102" s="185">
        <f>BK104</f>
        <v>86033.940000000002</v>
      </c>
      <c r="BM102" s="185">
        <f>BL104</f>
        <v>81052.259999999995</v>
      </c>
      <c r="BN102" s="185">
        <f>BM104</f>
        <v>88442.160000000003</v>
      </c>
      <c r="BO102" s="978">
        <f>BJ104</f>
        <v>88479.900000000009</v>
      </c>
      <c r="BP102" s="978">
        <f>BO104</f>
        <v>90249.498000000007</v>
      </c>
      <c r="BQ102" s="978">
        <f>BP104</f>
        <v>91151.99298000001</v>
      </c>
      <c r="BR102" s="978">
        <f>BQ104</f>
        <v>92063.512909800018</v>
      </c>
      <c r="BS102" s="100"/>
    </row>
    <row r="103" spans="1:71" s="224" customFormat="1" ht="15" hidden="1" outlineLevel="1">
      <c r="A103" s="364" t="s">
        <v>377</v>
      </c>
      <c r="B103" s="486"/>
      <c r="C103" s="973"/>
      <c r="D103" s="973"/>
      <c r="E103" s="973"/>
      <c r="F103" s="973"/>
      <c r="G103" s="973"/>
      <c r="H103" s="177"/>
      <c r="I103" s="177"/>
      <c r="J103" s="177"/>
      <c r="K103" s="177"/>
      <c r="L103" s="973"/>
      <c r="M103" s="177"/>
      <c r="N103" s="177"/>
      <c r="O103" s="177"/>
      <c r="P103" s="177"/>
      <c r="Q103" s="973"/>
      <c r="R103" s="177"/>
      <c r="S103" s="177"/>
      <c r="T103" s="177"/>
      <c r="U103" s="177"/>
      <c r="V103" s="973"/>
      <c r="W103" s="177">
        <f t="shared" si="298" ref="W103:AN103">W104-W102</f>
        <v>4378</v>
      </c>
      <c r="X103" s="177">
        <f t="shared" si="298"/>
        <v>903</v>
      </c>
      <c r="Y103" s="177">
        <f t="shared" si="298"/>
        <v>-274</v>
      </c>
      <c r="Z103" s="177">
        <f t="shared" si="298"/>
        <v>2166</v>
      </c>
      <c r="AA103" s="973">
        <f t="shared" si="298"/>
        <v>7173</v>
      </c>
      <c r="AB103" s="177">
        <f t="shared" si="298"/>
        <v>8863</v>
      </c>
      <c r="AC103" s="177">
        <f t="shared" si="298"/>
        <v>-4466</v>
      </c>
      <c r="AD103" s="177">
        <f t="shared" si="298"/>
        <v>-3425</v>
      </c>
      <c r="AE103" s="177">
        <f t="shared" si="298"/>
        <v>1372</v>
      </c>
      <c r="AF103" s="973">
        <f t="shared" si="298"/>
        <v>2344</v>
      </c>
      <c r="AG103" s="177">
        <f t="shared" si="298"/>
        <v>4693</v>
      </c>
      <c r="AH103" s="177">
        <f t="shared" si="298"/>
        <v>4976</v>
      </c>
      <c r="AI103" s="177">
        <f t="shared" si="298"/>
        <v>1042</v>
      </c>
      <c r="AJ103" s="177">
        <f t="shared" si="298"/>
        <v>-1730</v>
      </c>
      <c r="AK103" s="973">
        <f t="shared" si="298"/>
        <v>8981</v>
      </c>
      <c r="AL103" s="177">
        <f t="shared" si="298"/>
        <v>-399</v>
      </c>
      <c r="AM103" s="177">
        <f t="shared" si="298"/>
        <v>2868</v>
      </c>
      <c r="AN103" s="177">
        <f t="shared" si="298"/>
        <v>3499</v>
      </c>
      <c r="AO103" s="177">
        <f t="shared" si="299" ref="AO103:AQ103">AO104-AO102</f>
        <v>2816</v>
      </c>
      <c r="AP103" s="973">
        <f t="shared" si="299"/>
        <v>8784</v>
      </c>
      <c r="AQ103" s="177">
        <f t="shared" si="299"/>
        <v>-5693</v>
      </c>
      <c r="AR103" s="177">
        <f t="shared" si="300" ref="AR103:AW103">AR104-AR102</f>
        <v>1660</v>
      </c>
      <c r="AS103" s="177">
        <f t="shared" si="300"/>
        <v>-1484</v>
      </c>
      <c r="AT103" s="177">
        <f t="shared" si="300"/>
        <v>-2274</v>
      </c>
      <c r="AU103" s="973">
        <f t="shared" si="300"/>
        <v>-7791</v>
      </c>
      <c r="AV103" s="177">
        <f t="shared" si="300"/>
        <v>-8565</v>
      </c>
      <c r="AW103" s="177">
        <f t="shared" si="300"/>
        <v>-10865</v>
      </c>
      <c r="AX103" s="177">
        <f t="shared" si="301" ref="AX103:BJ103">AX104-AX102</f>
        <v>-5638</v>
      </c>
      <c r="AY103" s="177">
        <f t="shared" si="301"/>
        <v>3170</v>
      </c>
      <c r="AZ103" s="973">
        <f t="shared" si="301"/>
        <v>-21898</v>
      </c>
      <c r="BA103" s="177">
        <f t="shared" si="302" ref="BA103:BI103">BA104-BA102</f>
        <v>972</v>
      </c>
      <c r="BB103" s="177">
        <f t="shared" si="302"/>
        <v>-4446</v>
      </c>
      <c r="BC103" s="177">
        <f t="shared" si="302"/>
        <v>-5267</v>
      </c>
      <c r="BD103" s="177">
        <f t="shared" si="302"/>
        <v>797</v>
      </c>
      <c r="BE103" s="971">
        <f t="shared" si="302"/>
        <v>-7944</v>
      </c>
      <c r="BF103" s="177">
        <f>BF104-BF102</f>
        <v>-2398</v>
      </c>
      <c r="BG103" s="177">
        <f>BG104-BG102</f>
        <v>-4884</v>
      </c>
      <c r="BH103" s="638">
        <f>BH104-BH102</f>
        <v>7245</v>
      </c>
      <c r="BI103" s="177">
        <f t="shared" si="302"/>
        <v>1771.9000000000087</v>
      </c>
      <c r="BJ103" s="973">
        <f t="shared" si="301"/>
        <v>1734.9000000000087</v>
      </c>
      <c r="BK103" s="177">
        <f t="shared" si="303" ref="BK103:BR103">BK104-BK102</f>
        <v>-2445.9600000000064</v>
      </c>
      <c r="BL103" s="177">
        <f t="shared" si="303"/>
        <v>-4981.6800000000076</v>
      </c>
      <c r="BM103" s="177">
        <f t="shared" si="303"/>
        <v>7389.9000000000087</v>
      </c>
      <c r="BN103" s="177">
        <f t="shared" si="303"/>
        <v>1807.3380000000034</v>
      </c>
      <c r="BO103" s="973">
        <f t="shared" si="303"/>
        <v>1769.5979999999981</v>
      </c>
      <c r="BP103" s="973">
        <f t="shared" si="303"/>
        <v>902.49498000000312</v>
      </c>
      <c r="BQ103" s="973">
        <f t="shared" si="303"/>
        <v>911.51992980000796</v>
      </c>
      <c r="BR103" s="973">
        <f t="shared" si="303"/>
        <v>920.63512909799465</v>
      </c>
      <c r="BS103" s="229"/>
    </row>
    <row r="104" spans="1:71" s="44" customFormat="1" ht="15" hidden="1" outlineLevel="1">
      <c r="A104" s="447" t="s">
        <v>378</v>
      </c>
      <c r="B104" s="397"/>
      <c r="C104" s="978"/>
      <c r="D104" s="978"/>
      <c r="E104" s="978"/>
      <c r="F104" s="978"/>
      <c r="G104" s="978"/>
      <c r="H104" s="185"/>
      <c r="I104" s="185"/>
      <c r="J104" s="185"/>
      <c r="K104" s="185"/>
      <c r="L104" s="978"/>
      <c r="M104" s="185"/>
      <c r="N104" s="185"/>
      <c r="O104" s="185"/>
      <c r="P104" s="185"/>
      <c r="Q104" s="978"/>
      <c r="R104" s="185"/>
      <c r="S104" s="185"/>
      <c r="T104" s="185"/>
      <c r="U104" s="185"/>
      <c r="V104" s="991">
        <v>97096</v>
      </c>
      <c r="W104" s="888">
        <v>101474</v>
      </c>
      <c r="X104" s="888">
        <v>102377</v>
      </c>
      <c r="Y104" s="888">
        <v>102103</v>
      </c>
      <c r="Z104" s="185">
        <f>AA104</f>
        <v>104269</v>
      </c>
      <c r="AA104" s="991">
        <v>104269</v>
      </c>
      <c r="AB104" s="888">
        <v>113132</v>
      </c>
      <c r="AC104" s="888">
        <v>108666</v>
      </c>
      <c r="AD104" s="888">
        <v>105241</v>
      </c>
      <c r="AE104" s="185">
        <f>AF104</f>
        <v>106613</v>
      </c>
      <c r="AF104" s="991">
        <v>106613</v>
      </c>
      <c r="AG104" s="888">
        <v>111306</v>
      </c>
      <c r="AH104" s="888">
        <v>116282</v>
      </c>
      <c r="AI104" s="888">
        <v>117324</v>
      </c>
      <c r="AJ104" s="185">
        <f>AK104</f>
        <v>115594</v>
      </c>
      <c r="AK104" s="991">
        <v>115594</v>
      </c>
      <c r="AL104" s="888">
        <v>115195</v>
      </c>
      <c r="AM104" s="888">
        <v>118063</v>
      </c>
      <c r="AN104" s="888">
        <v>121562</v>
      </c>
      <c r="AO104" s="185">
        <f>AP104</f>
        <v>124378</v>
      </c>
      <c r="AP104" s="991">
        <v>124378</v>
      </c>
      <c r="AQ104" s="888">
        <v>118685</v>
      </c>
      <c r="AR104" s="888">
        <v>120345</v>
      </c>
      <c r="AS104" s="888">
        <v>118861</v>
      </c>
      <c r="AT104" s="185">
        <f>AU104</f>
        <v>116587</v>
      </c>
      <c r="AU104" s="991">
        <v>116587</v>
      </c>
      <c r="AV104" s="888">
        <v>108022</v>
      </c>
      <c r="AW104" s="888">
        <v>97157</v>
      </c>
      <c r="AX104" s="888">
        <v>91519</v>
      </c>
      <c r="AY104" s="185">
        <f>AZ104</f>
        <v>94689</v>
      </c>
      <c r="AZ104" s="991">
        <v>94689</v>
      </c>
      <c r="BA104" s="888">
        <v>95661</v>
      </c>
      <c r="BB104" s="888">
        <v>91215</v>
      </c>
      <c r="BC104" s="888">
        <v>85948</v>
      </c>
      <c r="BD104" s="185">
        <f>BE104</f>
        <v>86745</v>
      </c>
      <c r="BE104" s="1000">
        <v>86745</v>
      </c>
      <c r="BF104" s="888">
        <v>84347</v>
      </c>
      <c r="BG104" s="888">
        <v>79463</v>
      </c>
      <c r="BH104" s="902">
        <v>86708</v>
      </c>
      <c r="BI104" s="185">
        <f>BD104*(1+BI106)</f>
        <v>88479.900000000009</v>
      </c>
      <c r="BJ104" s="978">
        <f>BI104</f>
        <v>88479.900000000009</v>
      </c>
      <c r="BK104" s="185">
        <f>BF104*(1+BK106)</f>
        <v>86033.940000000002</v>
      </c>
      <c r="BL104" s="185">
        <f>BG104*(1+BL106)</f>
        <v>81052.259999999995</v>
      </c>
      <c r="BM104" s="185">
        <f>BH104*(1+BM106)</f>
        <v>88442.160000000003</v>
      </c>
      <c r="BN104" s="185">
        <f>BI104*(1+BN106)</f>
        <v>90249.498000000007</v>
      </c>
      <c r="BO104" s="978">
        <f>BN104</f>
        <v>90249.498000000007</v>
      </c>
      <c r="BP104" s="978">
        <f>BO104*(1+BP106)</f>
        <v>91151.99298000001</v>
      </c>
      <c r="BQ104" s="978">
        <f>BP104*(1+BQ106)</f>
        <v>92063.512909800018</v>
      </c>
      <c r="BR104" s="978">
        <f>BQ104*(1+BR106)</f>
        <v>92984.148038898013</v>
      </c>
      <c r="BS104" s="100"/>
    </row>
    <row r="105" spans="1:71" s="44" customFormat="1" ht="15" hidden="1" outlineLevel="1">
      <c r="A105" s="375" t="s">
        <v>379</v>
      </c>
      <c r="B105" s="397"/>
      <c r="C105" s="978"/>
      <c r="D105" s="978"/>
      <c r="E105" s="978"/>
      <c r="F105" s="978"/>
      <c r="G105" s="978"/>
      <c r="H105" s="185"/>
      <c r="I105" s="185"/>
      <c r="J105" s="185"/>
      <c r="K105" s="185"/>
      <c r="L105" s="978"/>
      <c r="M105" s="185"/>
      <c r="N105" s="185"/>
      <c r="O105" s="185"/>
      <c r="P105" s="185"/>
      <c r="Q105" s="978"/>
      <c r="R105" s="185"/>
      <c r="S105" s="185"/>
      <c r="T105" s="185"/>
      <c r="U105" s="185"/>
      <c r="V105" s="978"/>
      <c r="W105" s="100">
        <f>AVERAGE(V104,W104)</f>
        <v>99285</v>
      </c>
      <c r="X105" s="100">
        <f>AVERAGE(W104,X104)</f>
        <v>101925.50</v>
      </c>
      <c r="Y105" s="100">
        <f>AVERAGE(X104,Y104)</f>
        <v>102240</v>
      </c>
      <c r="Z105" s="100">
        <f>AVERAGE(Y104,Z104)</f>
        <v>103186</v>
      </c>
      <c r="AA105" s="977">
        <f>SUM(W105*W$3,X105*X$3,Y105*Y$3,Z105*Z$3)/SUM(W$3,X$3,Y$3,Z$3)</f>
        <v>101671.40410958904</v>
      </c>
      <c r="AB105" s="100">
        <f>AVERAGE(AA104,AB104)</f>
        <v>108700.50</v>
      </c>
      <c r="AC105" s="100">
        <f>AVERAGE(AB104,AC104)</f>
        <v>110899</v>
      </c>
      <c r="AD105" s="100">
        <f>AVERAGE(AC104,AD104)</f>
        <v>106953.50</v>
      </c>
      <c r="AE105" s="100">
        <f>AVERAGE(AD104,AE104)</f>
        <v>105927</v>
      </c>
      <c r="AF105" s="977">
        <f>SUM(AB105*AB$3,AC105*AC$3,AD105*AD$3,AE105*AE$3)/SUM(AB$3,AC$3,AD$3,AE$3)</f>
        <v>108109.20547945205</v>
      </c>
      <c r="AG105" s="100">
        <f>AVERAGE(AF104,AG104)</f>
        <v>108959.50</v>
      </c>
      <c r="AH105" s="100">
        <f>AVERAGE(AG104,AH104)</f>
        <v>113794</v>
      </c>
      <c r="AI105" s="100">
        <f>AVERAGE(AH104,AI104)</f>
        <v>116803</v>
      </c>
      <c r="AJ105" s="100">
        <f>AVERAGE(AI104,AJ104)</f>
        <v>116459</v>
      </c>
      <c r="AK105" s="977">
        <f>SUM(AG105*AG$3,AH105*AH$3,AI105*AI$3,AJ105*AJ$3)/SUM(AG$3,AH$3,AI$3,AJ$3)</f>
        <v>114032.0904109589</v>
      </c>
      <c r="AL105" s="100">
        <f>AVERAGE(AK104,AL104)</f>
        <v>115394.50</v>
      </c>
      <c r="AM105" s="100">
        <f>AVERAGE(AL104,AM104)</f>
        <v>116629</v>
      </c>
      <c r="AN105" s="100">
        <f>AVERAGE(AM104,AN104)</f>
        <v>119812.50</v>
      </c>
      <c r="AO105" s="100">
        <f>AVERAGE(AN104,AO104)</f>
        <v>122970</v>
      </c>
      <c r="AP105" s="977">
        <f>SUM(AL105*AL$3,AM105*AM$3,AN105*AN$3,AO105*AO$3)/SUM(AL$3,AM$3,AN$3,AO$3)</f>
        <v>118716.19808743169</v>
      </c>
      <c r="AQ105" s="100">
        <f>AVERAGE(AP104,AQ104)</f>
        <v>121531.50</v>
      </c>
      <c r="AR105" s="100">
        <f>AVERAGE(AQ104,AR104)</f>
        <v>119515</v>
      </c>
      <c r="AS105" s="100">
        <f>AVERAGE(AR104,AS104)</f>
        <v>119603</v>
      </c>
      <c r="AT105" s="100">
        <f>AVERAGE(AS104,AT104)</f>
        <v>117724</v>
      </c>
      <c r="AU105" s="977">
        <f>SUM(AQ105*AQ$3,AR105*AR$3,AS105*AS$3,AT105*AT$3)/SUM(AQ$3,AR$3,AS$3,AT$3)</f>
        <v>119582.9698630137</v>
      </c>
      <c r="AV105" s="100">
        <f>AVERAGE(AU104,AV104)</f>
        <v>112304.50</v>
      </c>
      <c r="AW105" s="100">
        <f>AVERAGE(AV104,AW104)</f>
        <v>102589.50</v>
      </c>
      <c r="AX105" s="100">
        <f>AVERAGE(AW104,AX104)</f>
        <v>94338</v>
      </c>
      <c r="AY105" s="100">
        <f>AVERAGE(AX104,AY104)</f>
        <v>93104</v>
      </c>
      <c r="AZ105" s="977">
        <f>SUM(AV105*AV$3,AW105*AW$3,AX105*AX$3,AY105*AY$3)/SUM(AV$3,AW$3,AX$3,AY$3)</f>
        <v>100514.28356164384</v>
      </c>
      <c r="BA105" s="100">
        <f>AVERAGE(AZ104,BA104)</f>
        <v>95175</v>
      </c>
      <c r="BB105" s="100">
        <f>AVERAGE(BA104,BB104)</f>
        <v>93438</v>
      </c>
      <c r="BC105" s="100">
        <f>AVERAGE(BB104,BC104)</f>
        <v>88581.50</v>
      </c>
      <c r="BD105" s="100">
        <f>AVERAGE(BC104,BD104)</f>
        <v>86346.50</v>
      </c>
      <c r="BE105" s="977">
        <f>SUM(BA105*BA$3,BB105*BB$3,BC105*BC$3,BD105*BD$3)/SUM(BA$3,BB$3,BC$3,BD$3)</f>
        <v>90854.75068493151</v>
      </c>
      <c r="BF105" s="100">
        <f>AVERAGE(BE104,BF104)</f>
        <v>85546</v>
      </c>
      <c r="BG105" s="100">
        <f>AVERAGE(BF104,BG104)</f>
        <v>81905</v>
      </c>
      <c r="BH105" s="741">
        <f>AVERAGE(BG104,BH104)</f>
        <v>83085.50</v>
      </c>
      <c r="BI105" s="185">
        <f>AVERAGE(BH104,BI104)</f>
        <v>87593.950000000012</v>
      </c>
      <c r="BJ105" s="978">
        <f>SUM(BF105*BF$3,BG105*BG$3,BH105*BH$3,BI105*BI$3)/SUM(BF$3,BG$3,BH$3,BI$3)</f>
        <v>84537.022950819679</v>
      </c>
      <c r="BK105" s="185">
        <f>AVERAGE(BJ104,BK104)</f>
        <v>87256.920000000013</v>
      </c>
      <c r="BL105" s="185">
        <f>AVERAGE(BK104,BL104)</f>
        <v>83543.100000000006</v>
      </c>
      <c r="BM105" s="185">
        <f>AVERAGE(BL104,BM104)</f>
        <v>84747.209999999992</v>
      </c>
      <c r="BN105" s="185">
        <f>AVERAGE(BM104,BN104)</f>
        <v>89345.828999999998</v>
      </c>
      <c r="BO105" s="978">
        <f>SUM(BK105*BK$3,BL105*BL$3,BM105*BM$3,BN105*BN$3)/SUM(BK$3,BL$3,BM$3,BN$3)</f>
        <v>86224.943802739726</v>
      </c>
      <c r="BP105" s="978">
        <f>AVERAGE(BO104,BP104)</f>
        <v>90700.745490000001</v>
      </c>
      <c r="BQ105" s="978">
        <f>AVERAGE(BP104,BQ104)</f>
        <v>91607.752944900014</v>
      </c>
      <c r="BR105" s="978">
        <f>AVERAGE(BQ104,BR104)</f>
        <v>92523.830474349015</v>
      </c>
      <c r="BS105" s="100"/>
    </row>
    <row r="106" spans="1:71" s="46" customFormat="1" ht="15" hidden="1" outlineLevel="1">
      <c r="A106" s="411" t="s">
        <v>380</v>
      </c>
      <c r="B106" s="396"/>
      <c r="C106" s="979"/>
      <c r="D106" s="979"/>
      <c r="E106" s="979"/>
      <c r="F106" s="979"/>
      <c r="G106" s="979"/>
      <c r="H106" s="644"/>
      <c r="I106" s="644"/>
      <c r="J106" s="644"/>
      <c r="K106" s="644"/>
      <c r="L106" s="979"/>
      <c r="M106" s="644"/>
      <c r="N106" s="644"/>
      <c r="O106" s="644"/>
      <c r="P106" s="644"/>
      <c r="Q106" s="979"/>
      <c r="R106" s="644"/>
      <c r="S106" s="644"/>
      <c r="T106" s="644"/>
      <c r="U106" s="644"/>
      <c r="V106" s="979"/>
      <c r="W106" s="644"/>
      <c r="X106" s="644"/>
      <c r="Y106" s="644"/>
      <c r="Z106" s="644"/>
      <c r="AA106" s="980">
        <f t="shared" si="304" ref="AA106:AQ106">AA104/V104-1</f>
        <v>0.073875339869819534</v>
      </c>
      <c r="AB106" s="93">
        <f t="shared" si="304"/>
        <v>0.11488657192975538</v>
      </c>
      <c r="AC106" s="93">
        <f t="shared" si="304"/>
        <v>0.061429813336979944</v>
      </c>
      <c r="AD106" s="93">
        <f t="shared" si="304"/>
        <v>0.030733670900952914</v>
      </c>
      <c r="AE106" s="93">
        <f t="shared" si="304"/>
        <v>0.02248031533821182</v>
      </c>
      <c r="AF106" s="980">
        <f t="shared" si="304"/>
        <v>0.02248031533821182</v>
      </c>
      <c r="AG106" s="93">
        <f t="shared" si="304"/>
        <v>-0.016140437718770939</v>
      </c>
      <c r="AH106" s="93">
        <f t="shared" si="304"/>
        <v>0.07008631954797262</v>
      </c>
      <c r="AI106" s="93">
        <f t="shared" si="304"/>
        <v>0.11481266806662793</v>
      </c>
      <c r="AJ106" s="93">
        <f t="shared" si="304"/>
        <v>0.084239257876619122</v>
      </c>
      <c r="AK106" s="980">
        <f t="shared" si="304"/>
        <v>0.084239257876619122</v>
      </c>
      <c r="AL106" s="93">
        <f t="shared" si="304"/>
        <v>0.034939715738594446</v>
      </c>
      <c r="AM106" s="93">
        <f t="shared" si="304"/>
        <v>0.015316214031406483</v>
      </c>
      <c r="AN106" s="93">
        <f t="shared" si="304"/>
        <v>0.036122191537963255</v>
      </c>
      <c r="AO106" s="93">
        <f t="shared" si="304"/>
        <v>0.075990103292558508</v>
      </c>
      <c r="AP106" s="980">
        <f t="shared" si="304"/>
        <v>0.075990103292558508</v>
      </c>
      <c r="AQ106" s="93">
        <f t="shared" si="304"/>
        <v>0.030296453839142368</v>
      </c>
      <c r="AR106" s="93">
        <f t="shared" si="305" ref="AR106:AW106">AR104/AM104-1</f>
        <v>0.019328663510159938</v>
      </c>
      <c r="AS106" s="93">
        <f t="shared" si="305"/>
        <v>-0.022219114525920958</v>
      </c>
      <c r="AT106" s="93">
        <f t="shared" si="305"/>
        <v>-0.06263969512293166</v>
      </c>
      <c r="AU106" s="980">
        <f t="shared" si="305"/>
        <v>-0.06263969512293166</v>
      </c>
      <c r="AV106" s="93">
        <f t="shared" si="305"/>
        <v>-0.089842861355689418</v>
      </c>
      <c r="AW106" s="93">
        <f t="shared" si="305"/>
        <v>-0.19267938011550123</v>
      </c>
      <c r="AX106" s="93">
        <f t="shared" si="306" ref="AX106:BC106">AX104/AS104-1</f>
        <v>-0.23003340035840181</v>
      </c>
      <c r="AY106" s="93">
        <f t="shared" si="306"/>
        <v>-0.18782540077367116</v>
      </c>
      <c r="AZ106" s="980">
        <f t="shared" si="306"/>
        <v>-0.18782540077367116</v>
      </c>
      <c r="BA106" s="93">
        <f t="shared" si="306"/>
        <v>-0.1144303938086686</v>
      </c>
      <c r="BB106" s="93">
        <f t="shared" si="306"/>
        <v>-0.061158743065347854</v>
      </c>
      <c r="BC106" s="93">
        <f t="shared" si="306"/>
        <v>-0.060872605688436332</v>
      </c>
      <c r="BD106" s="93">
        <f>BD104/AY104-1</f>
        <v>-0.083895700662167783</v>
      </c>
      <c r="BE106" s="980">
        <f>BE104/AZ104-1</f>
        <v>-0.083895700662167783</v>
      </c>
      <c r="BF106" s="93">
        <f>BF104/BA104-1</f>
        <v>-0.11827181400988906</v>
      </c>
      <c r="BG106" s="93">
        <f>BG104/BB104-1</f>
        <v>-0.12883845858685528</v>
      </c>
      <c r="BH106" s="742">
        <f>BH104/BC104-1</f>
        <v>0.0088425559640712414</v>
      </c>
      <c r="BI106" s="882">
        <v>0.02</v>
      </c>
      <c r="BJ106" s="979">
        <f>BJ104/BE104-1</f>
        <v>0.020000000000000018</v>
      </c>
      <c r="BK106" s="882">
        <v>0.02</v>
      </c>
      <c r="BL106" s="882">
        <v>0.02</v>
      </c>
      <c r="BM106" s="882">
        <v>0.02</v>
      </c>
      <c r="BN106" s="882">
        <v>0.02</v>
      </c>
      <c r="BO106" s="979">
        <f>BO104/BJ104-1</f>
        <v>0.020000000000000018</v>
      </c>
      <c r="BP106" s="981">
        <v>0.01</v>
      </c>
      <c r="BQ106" s="981">
        <v>0.01</v>
      </c>
      <c r="BR106" s="981">
        <v>0.01</v>
      </c>
      <c r="BS106" s="93"/>
    </row>
    <row r="107" spans="1:71" s="42" customFormat="1" ht="15" hidden="1" outlineLevel="1">
      <c r="A107" s="412"/>
      <c r="B107" s="393"/>
      <c r="C107" s="964"/>
      <c r="D107" s="964"/>
      <c r="E107" s="964"/>
      <c r="F107" s="964"/>
      <c r="G107" s="964"/>
      <c r="H107" s="395"/>
      <c r="I107" s="395"/>
      <c r="J107" s="395"/>
      <c r="K107" s="395"/>
      <c r="L107" s="964"/>
      <c r="M107" s="395"/>
      <c r="N107" s="395"/>
      <c r="O107" s="395"/>
      <c r="P107" s="395"/>
      <c r="Q107" s="964"/>
      <c r="R107" s="395"/>
      <c r="S107" s="395"/>
      <c r="T107" s="395"/>
      <c r="U107" s="395"/>
      <c r="V107" s="964"/>
      <c r="W107" s="395"/>
      <c r="X107" s="395"/>
      <c r="Y107" s="395"/>
      <c r="Z107" s="395"/>
      <c r="AA107" s="964"/>
      <c r="AB107" s="395"/>
      <c r="AC107" s="395"/>
      <c r="AD107" s="395"/>
      <c r="AE107" s="395"/>
      <c r="AF107" s="964"/>
      <c r="AG107" s="395"/>
      <c r="AH107" s="395"/>
      <c r="AI107" s="395"/>
      <c r="AJ107" s="395"/>
      <c r="AK107" s="964"/>
      <c r="AL107" s="395"/>
      <c r="AM107" s="395"/>
      <c r="AN107" s="395"/>
      <c r="AO107" s="395"/>
      <c r="AP107" s="964"/>
      <c r="AQ107" s="395"/>
      <c r="AR107" s="395"/>
      <c r="AS107" s="395"/>
      <c r="AT107" s="395"/>
      <c r="AU107" s="964"/>
      <c r="AV107" s="395"/>
      <c r="AW107" s="395"/>
      <c r="AX107" s="395"/>
      <c r="AY107" s="395"/>
      <c r="AZ107" s="964"/>
      <c r="BA107" s="395"/>
      <c r="BB107" s="395"/>
      <c r="BC107" s="395"/>
      <c r="BD107" s="395"/>
      <c r="BE107" s="964"/>
      <c r="BF107" s="395"/>
      <c r="BG107" s="395"/>
      <c r="BH107" s="737"/>
      <c r="BI107" s="395"/>
      <c r="BJ107" s="964"/>
      <c r="BK107" s="395"/>
      <c r="BL107" s="395"/>
      <c r="BM107" s="395"/>
      <c r="BN107" s="395"/>
      <c r="BO107" s="964"/>
      <c r="BP107" s="964"/>
      <c r="BQ107" s="964"/>
      <c r="BR107" s="964"/>
      <c r="BS107" s="91"/>
    </row>
    <row r="108" spans="1:71" s="47" customFormat="1" ht="15" hidden="1" outlineLevel="1">
      <c r="A108" s="412" t="s">
        <v>381</v>
      </c>
      <c r="B108" s="493"/>
      <c r="C108" s="989"/>
      <c r="D108" s="989"/>
      <c r="E108" s="989"/>
      <c r="F108" s="989"/>
      <c r="G108" s="989"/>
      <c r="H108" s="59"/>
      <c r="I108" s="59"/>
      <c r="J108" s="59"/>
      <c r="K108" s="59"/>
      <c r="L108" s="989"/>
      <c r="M108" s="59"/>
      <c r="N108" s="59"/>
      <c r="O108" s="59"/>
      <c r="P108" s="59"/>
      <c r="Q108" s="989"/>
      <c r="R108" s="59"/>
      <c r="S108" s="59"/>
      <c r="T108" s="59"/>
      <c r="U108" s="59"/>
      <c r="V108" s="989"/>
      <c r="W108" s="97">
        <f>W82/W105*(AA$3/W$3)</f>
        <v>0.022752122117585177</v>
      </c>
      <c r="X108" s="97">
        <f>X82/X105*(AA$3/X$3)</f>
        <v>0.021919155452962007</v>
      </c>
      <c r="Y108" s="97">
        <f>Y82/Y105*(AA$3/Y$3)</f>
        <v>0.02176942998571137</v>
      </c>
      <c r="Z108" s="97">
        <f>Z82/Z105*(AA$3/Z$3)</f>
        <v>0.021531400872548432</v>
      </c>
      <c r="AA108" s="990">
        <f>AA82/AA105</f>
        <v>0.021982582217424183</v>
      </c>
      <c r="AB108" s="97">
        <f>AB82/AB105*(AF$3/AB$3)</f>
        <v>0.021937954900544766</v>
      </c>
      <c r="AC108" s="97">
        <f>AC82/AC105*(AF$3/AC$3)</f>
        <v>0.021917775098597291</v>
      </c>
      <c r="AD108" s="97">
        <f>AD82/AD105*(AF$3/AD$3)</f>
        <v>0.022479293622319818</v>
      </c>
      <c r="AE108" s="97">
        <f>AE82/AE105*(AF$3/AE$3)</f>
        <v>0.022584770233479087</v>
      </c>
      <c r="AF108" s="990">
        <f>AF82/AF105</f>
        <v>0.022227524375403259</v>
      </c>
      <c r="AG108" s="97">
        <f>AG82/AG105*(AK$3/AG$3)</f>
        <v>0.025012351684188465</v>
      </c>
      <c r="AH108" s="97">
        <f>AH82/AH105*(AK$3/AH$3)</f>
        <v>0.021465914790694655</v>
      </c>
      <c r="AI108" s="97">
        <f>AI82/AI105*(AK$3/AI$3)</f>
        <v>0.022383935939703753</v>
      </c>
      <c r="AJ108" s="97">
        <f>AJ82/AJ105*(AK$3/AJ$3)</f>
        <v>0.018941168696428711</v>
      </c>
      <c r="AK108" s="990">
        <f>AK82/AK105</f>
        <v>0.021888575321251193</v>
      </c>
      <c r="AL108" s="97">
        <f>AL82/AL105*(AP$3/AL$3)</f>
        <v>0.022376368805358055</v>
      </c>
      <c r="AM108" s="97">
        <f>AM82/AM105*(AP$3/AM$3)</f>
        <v>0.021829151308097369</v>
      </c>
      <c r="AN108" s="97">
        <f>AN82/AN105*(AP$3/AN$3)</f>
        <v>0.022014288630332723</v>
      </c>
      <c r="AO108" s="97">
        <f>AO82/AO105*(AP$3/AO$3)</f>
        <v>0.023325413409421174</v>
      </c>
      <c r="AP108" s="990">
        <f>AP82/AP105</f>
        <v>0.02239795447325317</v>
      </c>
      <c r="AQ108" s="97">
        <f>AQ82/AQ105*(AU$3/AQ$3)</f>
        <v>0.023526136570902741</v>
      </c>
      <c r="AR108" s="97">
        <f>AR82/AR105*(AU$3/AR$3)</f>
        <v>0.026579954789802924</v>
      </c>
      <c r="AS108" s="97">
        <f>AS82/AS105*(AU$3/AS$3)</f>
        <v>0.025309729398237432</v>
      </c>
      <c r="AT108" s="97">
        <f>AT82/AT105*(AU$3/AT$3)</f>
        <v>0.025983305831029986</v>
      </c>
      <c r="AU108" s="990">
        <f>AU82/AU105</f>
        <v>0.025346418503170744</v>
      </c>
      <c r="AV108" s="97">
        <f>AV82/AV105*(AZ$3/AV$3)</f>
        <v>0.024556253558653283</v>
      </c>
      <c r="AW108" s="97">
        <f>AW82/AW105*(AZ$3/AW$3)</f>
        <v>0.028267464554803903</v>
      </c>
      <c r="AX108" s="97">
        <f>AX82/AX105*(AZ$3/AX$3)</f>
        <v>0.027882512187905287</v>
      </c>
      <c r="AY108" s="97">
        <f>AY82/AY105*(AZ$3/AY$3)</f>
        <v>0.025737931214835957</v>
      </c>
      <c r="AZ108" s="990">
        <f>AZ82/AZ105</f>
        <v>0.026553440022911212</v>
      </c>
      <c r="BA108" s="97">
        <f>BA82/BA105*(BE$3/BA$3)</f>
        <v>0.026035665294924553</v>
      </c>
      <c r="BB108" s="97">
        <f>BB82/BB105*(BE$3/BB$3)</f>
        <v>0.027344335281148997</v>
      </c>
      <c r="BC108" s="97">
        <f>BC82/BC105*(BE$3/BC$3)</f>
        <v>0.030411075626989543</v>
      </c>
      <c r="BD108" s="97">
        <f>BD82/BD105*(BE$3/BD$3)</f>
        <v>0.030095502473728827</v>
      </c>
      <c r="BE108" s="990">
        <f>BE82/BE105</f>
        <v>0.028418987235504366</v>
      </c>
      <c r="BF108" s="97">
        <f>BF82/BF105*(BJ$3/BF$3)</f>
        <v>0.03046596869803098</v>
      </c>
      <c r="BG108" s="97">
        <f>BG82/BG105*(BJ$3/BG$3)</f>
        <v>0.035601417079959292</v>
      </c>
      <c r="BH108" s="745">
        <f>BH82/BH105*(BJ$3/BH$3)</f>
        <v>0.031697572929719073</v>
      </c>
      <c r="BI108" s="903">
        <v>0.042000000000000003</v>
      </c>
      <c r="BJ108" s="989">
        <f>BJ82/BJ105</f>
        <v>0.035011433500549492</v>
      </c>
      <c r="BK108" s="903">
        <v>0.024</v>
      </c>
      <c r="BL108" s="903">
        <v>0.024</v>
      </c>
      <c r="BM108" s="903">
        <v>0.024</v>
      </c>
      <c r="BN108" s="903">
        <v>0.024</v>
      </c>
      <c r="BO108" s="989">
        <f>BO82/BO105</f>
        <v>0.024</v>
      </c>
      <c r="BP108" s="1001">
        <v>0.023999999999999997</v>
      </c>
      <c r="BQ108" s="1001">
        <v>0.023999999999999997</v>
      </c>
      <c r="BR108" s="1001">
        <v>0.023999999999999997</v>
      </c>
      <c r="BS108" s="97"/>
    </row>
    <row r="109" spans="1:71" s="42" customFormat="1" ht="15" collapsed="1">
      <c r="A109" s="398"/>
      <c r="B109" s="393"/>
      <c r="C109" s="964"/>
      <c r="D109" s="964"/>
      <c r="E109" s="964"/>
      <c r="F109" s="964"/>
      <c r="G109" s="964"/>
      <c r="H109" s="395"/>
      <c r="I109" s="395"/>
      <c r="J109" s="395"/>
      <c r="K109" s="395"/>
      <c r="L109" s="964"/>
      <c r="M109" s="395"/>
      <c r="N109" s="395"/>
      <c r="O109" s="395"/>
      <c r="P109" s="395"/>
      <c r="Q109" s="964"/>
      <c r="R109" s="395"/>
      <c r="S109" s="395"/>
      <c r="T109" s="395"/>
      <c r="U109" s="395"/>
      <c r="V109" s="964"/>
      <c r="W109" s="395"/>
      <c r="X109" s="395"/>
      <c r="Y109" s="395"/>
      <c r="Z109" s="395"/>
      <c r="AA109" s="964"/>
      <c r="AB109" s="395"/>
      <c r="AC109" s="395"/>
      <c r="AD109" s="395"/>
      <c r="AE109" s="395"/>
      <c r="AF109" s="964"/>
      <c r="AG109" s="395"/>
      <c r="AH109" s="395"/>
      <c r="AI109" s="395"/>
      <c r="AJ109" s="395"/>
      <c r="AK109" s="964"/>
      <c r="AL109" s="395"/>
      <c r="AM109" s="395"/>
      <c r="AN109" s="395"/>
      <c r="AO109" s="395"/>
      <c r="AP109" s="964"/>
      <c r="AQ109" s="395"/>
      <c r="AR109" s="395"/>
      <c r="AS109" s="395"/>
      <c r="AT109" s="395"/>
      <c r="AU109" s="964"/>
      <c r="AV109" s="395"/>
      <c r="AW109" s="395"/>
      <c r="AX109" s="395"/>
      <c r="AY109" s="395"/>
      <c r="AZ109" s="964"/>
      <c r="BA109" s="395"/>
      <c r="BB109" s="395"/>
      <c r="BC109" s="395"/>
      <c r="BD109" s="395"/>
      <c r="BE109" s="964"/>
      <c r="BF109" s="395"/>
      <c r="BG109" s="395"/>
      <c r="BH109" s="737"/>
      <c r="BI109" s="395"/>
      <c r="BJ109" s="964"/>
      <c r="BK109" s="395"/>
      <c r="BL109" s="395"/>
      <c r="BM109" s="395"/>
      <c r="BN109" s="395"/>
      <c r="BO109" s="964"/>
      <c r="BP109" s="964"/>
      <c r="BQ109" s="964"/>
      <c r="BR109" s="964"/>
      <c r="BS109" s="91"/>
    </row>
    <row r="110" spans="1:71" s="43" customFormat="1" ht="15">
      <c r="A110" s="812" t="s">
        <v>337</v>
      </c>
      <c r="B110" s="812"/>
      <c r="C110" s="99"/>
      <c r="D110" s="99"/>
      <c r="E110" s="99"/>
      <c r="F110" s="99"/>
      <c r="G110" s="99"/>
      <c r="H110" s="99"/>
      <c r="I110" s="99"/>
      <c r="J110" s="99"/>
      <c r="K110" s="99"/>
      <c r="L110" s="99"/>
      <c r="M110" s="99"/>
      <c r="N110" s="99"/>
      <c r="O110" s="99"/>
      <c r="P110" s="99"/>
      <c r="Q110" s="99"/>
      <c r="R110" s="99"/>
      <c r="S110" s="99"/>
      <c r="T110" s="99"/>
      <c r="U110" s="99"/>
      <c r="V110" s="99"/>
      <c r="W110" s="99"/>
      <c r="X110" s="99"/>
      <c r="Y110" s="99"/>
      <c r="Z110" s="99"/>
      <c r="AA110" s="99"/>
      <c r="AB110" s="99"/>
      <c r="AC110" s="99"/>
      <c r="AD110" s="99"/>
      <c r="AE110" s="99"/>
      <c r="AF110" s="99"/>
      <c r="AG110" s="99"/>
      <c r="AH110" s="99"/>
      <c r="AI110" s="99"/>
      <c r="AJ110" s="99"/>
      <c r="AK110" s="99"/>
      <c r="AL110" s="99"/>
      <c r="AM110" s="99"/>
      <c r="AN110" s="99"/>
      <c r="AO110" s="99"/>
      <c r="AP110" s="99"/>
      <c r="AQ110" s="99"/>
      <c r="AR110" s="99"/>
      <c r="AS110" s="99"/>
      <c r="AT110" s="99"/>
      <c r="AU110" s="99"/>
      <c r="AV110" s="99"/>
      <c r="AW110" s="99"/>
      <c r="AX110" s="99"/>
      <c r="AY110" s="99"/>
      <c r="AZ110" s="99"/>
      <c r="BA110" s="99"/>
      <c r="BB110" s="99"/>
      <c r="BC110" s="99"/>
      <c r="BD110" s="99"/>
      <c r="BE110" s="99"/>
      <c r="BF110" s="99"/>
      <c r="BG110" s="99"/>
      <c r="BH110" s="597"/>
      <c r="BI110" s="99"/>
      <c r="BJ110" s="99"/>
      <c r="BK110" s="99"/>
      <c r="BL110" s="99"/>
      <c r="BM110" s="99"/>
      <c r="BN110" s="99"/>
      <c r="BO110" s="99"/>
      <c r="BP110" s="99"/>
      <c r="BQ110" s="99"/>
      <c r="BR110" s="99"/>
      <c r="BS110" s="475"/>
    </row>
    <row r="111" spans="1:71" s="224" customFormat="1" ht="15" hidden="1" outlineLevel="1">
      <c r="A111" s="362" t="s">
        <v>338</v>
      </c>
      <c r="B111" s="389"/>
      <c r="C111" s="992">
        <v>4444</v>
      </c>
      <c r="D111" s="992">
        <v>4586</v>
      </c>
      <c r="E111" s="992">
        <v>4743</v>
      </c>
      <c r="F111" s="992">
        <v>4996</v>
      </c>
      <c r="G111" s="992">
        <v>5153</v>
      </c>
      <c r="H111" s="891">
        <v>1294</v>
      </c>
      <c r="I111" s="891">
        <v>1311</v>
      </c>
      <c r="J111" s="891">
        <v>1306</v>
      </c>
      <c r="K111" s="176">
        <f>L111-SUM(H111,I111,J111)</f>
        <v>1300</v>
      </c>
      <c r="L111" s="992">
        <v>5211</v>
      </c>
      <c r="M111" s="891">
        <v>1339</v>
      </c>
      <c r="N111" s="891">
        <v>1331</v>
      </c>
      <c r="O111" s="891">
        <v>1346</v>
      </c>
      <c r="P111" s="176">
        <f>Q111-SUM(M111,N111,O111)</f>
        <v>1331</v>
      </c>
      <c r="Q111" s="992">
        <v>5347</v>
      </c>
      <c r="R111" s="891">
        <v>1367</v>
      </c>
      <c r="S111" s="891">
        <v>1362</v>
      </c>
      <c r="T111" s="891">
        <v>1365</v>
      </c>
      <c r="U111" s="176">
        <f>V111-SUM(R111,S111,T111)</f>
        <v>1360</v>
      </c>
      <c r="V111" s="992">
        <v>5454</v>
      </c>
      <c r="W111" s="891">
        <v>1390</v>
      </c>
      <c r="X111" s="891">
        <v>1388</v>
      </c>
      <c r="Y111" s="891">
        <v>1393</v>
      </c>
      <c r="Z111" s="176">
        <f>AA111-SUM(W111,X111,Y111)</f>
        <v>1392</v>
      </c>
      <c r="AA111" s="992">
        <v>5563</v>
      </c>
      <c r="AB111" s="891">
        <v>1427</v>
      </c>
      <c r="AC111" s="891">
        <v>1426</v>
      </c>
      <c r="AD111" s="891">
        <v>1426</v>
      </c>
      <c r="AE111" s="176">
        <f>AF111-SUM(AB111,AC111,AD111)</f>
        <v>1429</v>
      </c>
      <c r="AF111" s="992">
        <v>5708</v>
      </c>
      <c r="AG111" s="891">
        <v>1461</v>
      </c>
      <c r="AH111" s="891">
        <v>1459</v>
      </c>
      <c r="AI111" s="891">
        <v>1445</v>
      </c>
      <c r="AJ111" s="176">
        <f>AK111-SUM(AG111,AH111,AI111)</f>
        <v>1443</v>
      </c>
      <c r="AK111" s="992">
        <v>5808</v>
      </c>
      <c r="AL111" s="891">
        <v>1483</v>
      </c>
      <c r="AM111" s="891">
        <v>1458</v>
      </c>
      <c r="AN111" s="891">
        <v>1407</v>
      </c>
      <c r="AO111" s="176">
        <f>AP111-SUM(AL111,AM111,AN111)</f>
        <v>1410</v>
      </c>
      <c r="AP111" s="992">
        <v>5758</v>
      </c>
      <c r="AQ111" s="891">
        <v>1422</v>
      </c>
      <c r="AR111" s="891">
        <v>1408</v>
      </c>
      <c r="AS111" s="891">
        <v>1393</v>
      </c>
      <c r="AT111" s="176">
        <f>AU111-SUM(AQ111,AR111,AS111)</f>
        <v>1391</v>
      </c>
      <c r="AU111" s="992">
        <v>5614</v>
      </c>
      <c r="AV111" s="891">
        <v>1413</v>
      </c>
      <c r="AW111" s="891">
        <v>1394</v>
      </c>
      <c r="AX111" s="891">
        <v>1375</v>
      </c>
      <c r="AY111" s="891">
        <v>1388</v>
      </c>
      <c r="AZ111" s="992">
        <v>5570</v>
      </c>
      <c r="BA111" s="891">
        <v>1428</v>
      </c>
      <c r="BB111" s="891">
        <v>1425</v>
      </c>
      <c r="BC111" s="891">
        <v>1419</v>
      </c>
      <c r="BD111" s="891">
        <v>1403</v>
      </c>
      <c r="BE111" s="992">
        <v>5675</v>
      </c>
      <c r="BF111" s="891">
        <v>1475</v>
      </c>
      <c r="BG111" s="891">
        <v>1455</v>
      </c>
      <c r="BH111" s="892">
        <v>1459</v>
      </c>
      <c r="BI111" s="176">
        <f>BD111*(1+BI121)</f>
        <v>1459.12</v>
      </c>
      <c r="BJ111" s="971">
        <f>SUM(BF111,BG111,BH111,BI111)</f>
        <v>5848.12</v>
      </c>
      <c r="BK111" s="176">
        <f>BF111*(1+BK121)</f>
        <v>1482.3749999999998</v>
      </c>
      <c r="BL111" s="176">
        <f>BG111*(1+BL121)</f>
        <v>1462.275</v>
      </c>
      <c r="BM111" s="176">
        <f>BH111*(1+BM121)</f>
        <v>1466.2949999999998</v>
      </c>
      <c r="BN111" s="176">
        <f>BI111*(1+BN121)</f>
        <v>1466.4156</v>
      </c>
      <c r="BO111" s="971">
        <f>SUM(BK111,BL111,BM111,BN111)</f>
        <v>5877.3606</v>
      </c>
      <c r="BP111" s="971">
        <f>BO111*(1+BP121)</f>
        <v>5906.7474029999994</v>
      </c>
      <c r="BQ111" s="971">
        <f>BP111*(1+BQ121)</f>
        <v>5936.2811400149985</v>
      </c>
      <c r="BR111" s="971">
        <f>BQ111*(1+BR121)</f>
        <v>5965.9625457150732</v>
      </c>
      <c r="BS111" s="229"/>
    </row>
    <row r="112" spans="1:71" s="224" customFormat="1" ht="15" hidden="1" outlineLevel="1">
      <c r="A112" s="362" t="s">
        <v>339</v>
      </c>
      <c r="B112" s="389"/>
      <c r="C112" s="992">
        <v>499</v>
      </c>
      <c r="D112" s="992">
        <v>549</v>
      </c>
      <c r="E112" s="992">
        <v>588</v>
      </c>
      <c r="F112" s="992">
        <v>613</v>
      </c>
      <c r="G112" s="992">
        <v>632</v>
      </c>
      <c r="H112" s="891">
        <v>161</v>
      </c>
      <c r="I112" s="891">
        <v>161</v>
      </c>
      <c r="J112" s="891">
        <v>162</v>
      </c>
      <c r="K112" s="176">
        <f>L112-SUM(H112,I112,J112)</f>
        <v>161</v>
      </c>
      <c r="L112" s="992">
        <v>645</v>
      </c>
      <c r="M112" s="891">
        <v>166</v>
      </c>
      <c r="N112" s="891">
        <v>168</v>
      </c>
      <c r="O112" s="891">
        <v>173</v>
      </c>
      <c r="P112" s="176">
        <f>Q112-SUM(M112,N112,O112)</f>
        <v>171</v>
      </c>
      <c r="Q112" s="992">
        <v>678</v>
      </c>
      <c r="R112" s="891">
        <v>174</v>
      </c>
      <c r="S112" s="891">
        <v>176</v>
      </c>
      <c r="T112" s="891">
        <v>176</v>
      </c>
      <c r="U112" s="176">
        <f>V112-SUM(R112,S112,T112)</f>
        <v>177</v>
      </c>
      <c r="V112" s="992">
        <v>703</v>
      </c>
      <c r="W112" s="891">
        <v>178</v>
      </c>
      <c r="X112" s="891">
        <v>180</v>
      </c>
      <c r="Y112" s="891">
        <v>181</v>
      </c>
      <c r="Z112" s="176">
        <f>AA112-SUM(W112,X112,Y112)</f>
        <v>182</v>
      </c>
      <c r="AA112" s="992">
        <v>721</v>
      </c>
      <c r="AB112" s="891">
        <v>175</v>
      </c>
      <c r="AC112" s="891">
        <v>182</v>
      </c>
      <c r="AD112" s="891">
        <v>187</v>
      </c>
      <c r="AE112" s="176">
        <f>AF112-SUM(AB112,AC112,AD112)</f>
        <v>183</v>
      </c>
      <c r="AF112" s="992">
        <v>727</v>
      </c>
      <c r="AG112" s="891">
        <v>177</v>
      </c>
      <c r="AH112" s="891">
        <v>180</v>
      </c>
      <c r="AI112" s="891">
        <v>183</v>
      </c>
      <c r="AJ112" s="176">
        <f>AK112-SUM(AG112,AH112,AI112)</f>
        <v>180</v>
      </c>
      <c r="AK112" s="992">
        <v>720</v>
      </c>
      <c r="AL112" s="891">
        <v>177</v>
      </c>
      <c r="AM112" s="891">
        <v>172</v>
      </c>
      <c r="AN112" s="891">
        <v>175</v>
      </c>
      <c r="AO112" s="891">
        <v>182</v>
      </c>
      <c r="AP112" s="992">
        <v>705</v>
      </c>
      <c r="AQ112" s="891">
        <v>176</v>
      </c>
      <c r="AR112" s="891">
        <v>189</v>
      </c>
      <c r="AS112" s="891">
        <v>191</v>
      </c>
      <c r="AT112" s="891">
        <v>197</v>
      </c>
      <c r="AU112" s="992">
        <v>754</v>
      </c>
      <c r="AV112" s="891">
        <v>184</v>
      </c>
      <c r="AW112" s="891">
        <v>193</v>
      </c>
      <c r="AX112" s="891">
        <v>185</v>
      </c>
      <c r="AY112" s="891">
        <v>192</v>
      </c>
      <c r="AZ112" s="992">
        <v>755</v>
      </c>
      <c r="BA112" s="891">
        <v>197</v>
      </c>
      <c r="BB112" s="891">
        <v>203</v>
      </c>
      <c r="BC112" s="891">
        <v>209</v>
      </c>
      <c r="BD112" s="891">
        <v>211</v>
      </c>
      <c r="BE112" s="992">
        <v>820</v>
      </c>
      <c r="BF112" s="891">
        <v>206</v>
      </c>
      <c r="BG112" s="891">
        <v>218</v>
      </c>
      <c r="BH112" s="892">
        <v>210</v>
      </c>
      <c r="BI112" s="176">
        <f>BI133*BI136/(BJ$3/BI$3)</f>
        <v>210.15056010928967</v>
      </c>
      <c r="BJ112" s="971">
        <f>SUM(BF112,BG112,BH112,BI112)</f>
        <v>844.1505601092897</v>
      </c>
      <c r="BK112" s="176">
        <f>BK133*BK136/(BO$3/BK$3)</f>
        <v>207.97119863013702</v>
      </c>
      <c r="BL112" s="176">
        <f>BL133*BL136/(BO$3/BL$3)</f>
        <v>209.73879452054797</v>
      </c>
      <c r="BM112" s="176">
        <f>BM133*BM136/(BO$3/BM$3)</f>
        <v>215.39815068493152</v>
      </c>
      <c r="BN112" s="176">
        <f>BN133*BN136/(BO$3/BN$3)</f>
        <v>221.26263082191784</v>
      </c>
      <c r="BO112" s="971">
        <f>SUM(BK112,BL112,BM112,BN112)</f>
        <v>854.37077465753441</v>
      </c>
      <c r="BP112" s="971">
        <f>BP133*BP136</f>
        <v>771.66035296875043</v>
      </c>
      <c r="BQ112" s="971">
        <f>BQ133*BQ136</f>
        <v>810.24337061718802</v>
      </c>
      <c r="BR112" s="971">
        <f>BR133*BR136</f>
        <v>850.75553914804743</v>
      </c>
      <c r="BS112" s="229"/>
    </row>
    <row r="113" spans="1:71" s="224" customFormat="1" ht="15" hidden="1" outlineLevel="1">
      <c r="A113" s="362" t="s">
        <v>340</v>
      </c>
      <c r="B113" s="389"/>
      <c r="C113" s="992">
        <v>10</v>
      </c>
      <c r="D113" s="992">
        <v>11</v>
      </c>
      <c r="E113" s="992">
        <v>10</v>
      </c>
      <c r="F113" s="992">
        <v>19</v>
      </c>
      <c r="G113" s="992">
        <v>6</v>
      </c>
      <c r="H113" s="891">
        <v>0</v>
      </c>
      <c r="I113" s="891">
        <v>1</v>
      </c>
      <c r="J113" s="891">
        <v>0</v>
      </c>
      <c r="K113" s="176">
        <f>L113-SUM(H113,I113,J113)</f>
        <v>2</v>
      </c>
      <c r="L113" s="992">
        <v>3</v>
      </c>
      <c r="M113" s="891">
        <v>3</v>
      </c>
      <c r="N113" s="891">
        <v>2</v>
      </c>
      <c r="O113" s="891">
        <v>1</v>
      </c>
      <c r="P113" s="176">
        <f>Q113-SUM(M113,N113,O113)</f>
        <v>2</v>
      </c>
      <c r="Q113" s="992">
        <v>8</v>
      </c>
      <c r="R113" s="891">
        <v>3</v>
      </c>
      <c r="S113" s="891">
        <v>0</v>
      </c>
      <c r="T113" s="891">
        <v>1</v>
      </c>
      <c r="U113" s="176">
        <f>V113-SUM(R113,S113,T113)</f>
        <v>6</v>
      </c>
      <c r="V113" s="992">
        <v>10</v>
      </c>
      <c r="W113" s="891">
        <v>1</v>
      </c>
      <c r="X113" s="891">
        <v>2</v>
      </c>
      <c r="Y113" s="891">
        <v>1</v>
      </c>
      <c r="Z113" s="176">
        <f>AA113-SUM(W113,X113,Y113)</f>
        <v>1</v>
      </c>
      <c r="AA113" s="992">
        <v>5</v>
      </c>
      <c r="AB113" s="891">
        <v>2</v>
      </c>
      <c r="AC113" s="891">
        <v>2</v>
      </c>
      <c r="AD113" s="891">
        <v>3</v>
      </c>
      <c r="AE113" s="176">
        <f>AF113-SUM(AB113,AC113,AD113)</f>
        <v>1</v>
      </c>
      <c r="AF113" s="992">
        <v>8</v>
      </c>
      <c r="AG113" s="891">
        <v>2</v>
      </c>
      <c r="AH113" s="891">
        <v>2</v>
      </c>
      <c r="AI113" s="891">
        <v>2</v>
      </c>
      <c r="AJ113" s="176">
        <f>AK113-SUM(AG113,AH113,AI113)</f>
        <v>16</v>
      </c>
      <c r="AK113" s="992">
        <v>22</v>
      </c>
      <c r="AL113" s="891">
        <v>27</v>
      </c>
      <c r="AM113" s="891">
        <v>26</v>
      </c>
      <c r="AN113" s="891">
        <v>24</v>
      </c>
      <c r="AO113" s="176">
        <f>AP113-SUM(AL113,AM113,AN113)</f>
        <v>25</v>
      </c>
      <c r="AP113" s="992">
        <v>102</v>
      </c>
      <c r="AQ113" s="891">
        <v>30</v>
      </c>
      <c r="AR113" s="891">
        <v>30</v>
      </c>
      <c r="AS113" s="891">
        <v>32</v>
      </c>
      <c r="AT113" s="891">
        <v>31</v>
      </c>
      <c r="AU113" s="992">
        <v>121</v>
      </c>
      <c r="AV113" s="891">
        <v>42</v>
      </c>
      <c r="AW113" s="891">
        <v>41</v>
      </c>
      <c r="AX113" s="891">
        <v>38</v>
      </c>
      <c r="AY113" s="891">
        <v>41</v>
      </c>
      <c r="AZ113" s="992">
        <v>161</v>
      </c>
      <c r="BA113" s="891">
        <v>35</v>
      </c>
      <c r="BB113" s="891">
        <v>35</v>
      </c>
      <c r="BC113" s="891">
        <v>33</v>
      </c>
      <c r="BD113" s="891">
        <v>25</v>
      </c>
      <c r="BE113" s="992">
        <v>128</v>
      </c>
      <c r="BF113" s="891">
        <v>18</v>
      </c>
      <c r="BG113" s="891">
        <v>11</v>
      </c>
      <c r="BH113" s="892">
        <v>15</v>
      </c>
      <c r="BI113" s="891">
        <v>3</v>
      </c>
      <c r="BJ113" s="971">
        <f>SUM(BF113,BG113,BH113,BI113)</f>
        <v>47</v>
      </c>
      <c r="BK113" s="891">
        <v>3</v>
      </c>
      <c r="BL113" s="891">
        <v>3</v>
      </c>
      <c r="BM113" s="891">
        <v>3</v>
      </c>
      <c r="BN113" s="891">
        <v>3</v>
      </c>
      <c r="BO113" s="971">
        <f>SUM(BK113,BL113,BM113,BN113)</f>
        <v>12</v>
      </c>
      <c r="BP113" s="992">
        <v>12</v>
      </c>
      <c r="BQ113" s="992">
        <v>12</v>
      </c>
      <c r="BR113" s="992">
        <v>12</v>
      </c>
      <c r="BS113" s="229"/>
    </row>
    <row r="114" spans="1:71" s="44" customFormat="1" ht="15" hidden="1" outlineLevel="1">
      <c r="A114" s="366" t="s">
        <v>341</v>
      </c>
      <c r="B114" s="386"/>
      <c r="C114" s="982">
        <f t="shared" si="307" ref="C114:AN114">SUM(C111:C113)</f>
        <v>4953</v>
      </c>
      <c r="D114" s="982">
        <f t="shared" si="307"/>
        <v>5146</v>
      </c>
      <c r="E114" s="982">
        <f t="shared" si="307"/>
        <v>5341</v>
      </c>
      <c r="F114" s="982">
        <f t="shared" si="307"/>
        <v>5628</v>
      </c>
      <c r="G114" s="982">
        <f t="shared" si="307"/>
        <v>5791</v>
      </c>
      <c r="H114" s="25">
        <f t="shared" si="307"/>
        <v>1455</v>
      </c>
      <c r="I114" s="25">
        <f t="shared" si="307"/>
        <v>1473</v>
      </c>
      <c r="J114" s="25">
        <f t="shared" si="307"/>
        <v>1468</v>
      </c>
      <c r="K114" s="25">
        <f t="shared" si="307"/>
        <v>1463</v>
      </c>
      <c r="L114" s="982">
        <f t="shared" si="307"/>
        <v>5859</v>
      </c>
      <c r="M114" s="25">
        <f t="shared" si="307"/>
        <v>1508</v>
      </c>
      <c r="N114" s="25">
        <f t="shared" si="307"/>
        <v>1501</v>
      </c>
      <c r="O114" s="25">
        <f t="shared" si="307"/>
        <v>1520</v>
      </c>
      <c r="P114" s="25">
        <f t="shared" si="307"/>
        <v>1504</v>
      </c>
      <c r="Q114" s="982">
        <f t="shared" si="307"/>
        <v>6033</v>
      </c>
      <c r="R114" s="25">
        <f t="shared" si="307"/>
        <v>1544</v>
      </c>
      <c r="S114" s="25">
        <f t="shared" si="307"/>
        <v>1538</v>
      </c>
      <c r="T114" s="25">
        <f t="shared" si="307"/>
        <v>1542</v>
      </c>
      <c r="U114" s="25">
        <f t="shared" si="307"/>
        <v>1543</v>
      </c>
      <c r="V114" s="982">
        <f t="shared" si="307"/>
        <v>6167</v>
      </c>
      <c r="W114" s="25">
        <f t="shared" si="307"/>
        <v>1569</v>
      </c>
      <c r="X114" s="25">
        <f t="shared" si="307"/>
        <v>1570</v>
      </c>
      <c r="Y114" s="25">
        <f t="shared" si="307"/>
        <v>1575</v>
      </c>
      <c r="Z114" s="25">
        <f t="shared" si="307"/>
        <v>1575</v>
      </c>
      <c r="AA114" s="982">
        <f t="shared" si="307"/>
        <v>6289</v>
      </c>
      <c r="AB114" s="25">
        <f t="shared" si="307"/>
        <v>1604</v>
      </c>
      <c r="AC114" s="25">
        <f t="shared" si="307"/>
        <v>1610</v>
      </c>
      <c r="AD114" s="25">
        <f t="shared" si="307"/>
        <v>1616</v>
      </c>
      <c r="AE114" s="25">
        <f t="shared" si="307"/>
        <v>1613</v>
      </c>
      <c r="AF114" s="982">
        <f t="shared" si="307"/>
        <v>6443</v>
      </c>
      <c r="AG114" s="25">
        <f t="shared" si="307"/>
        <v>1640</v>
      </c>
      <c r="AH114" s="25">
        <f t="shared" si="307"/>
        <v>1641</v>
      </c>
      <c r="AI114" s="25">
        <f t="shared" si="307"/>
        <v>1630</v>
      </c>
      <c r="AJ114" s="25">
        <f t="shared" si="307"/>
        <v>1639</v>
      </c>
      <c r="AK114" s="982">
        <f t="shared" si="307"/>
        <v>6550</v>
      </c>
      <c r="AL114" s="25">
        <f t="shared" si="307"/>
        <v>1687</v>
      </c>
      <c r="AM114" s="25">
        <f t="shared" si="307"/>
        <v>1656</v>
      </c>
      <c r="AN114" s="25">
        <f t="shared" si="307"/>
        <v>1606</v>
      </c>
      <c r="AO114" s="25">
        <f t="shared" si="308" ref="AO114:AQ114">SUM(AO111:AO113)</f>
        <v>1617</v>
      </c>
      <c r="AP114" s="982">
        <f t="shared" si="308"/>
        <v>6565</v>
      </c>
      <c r="AQ114" s="25">
        <f t="shared" si="308"/>
        <v>1628</v>
      </c>
      <c r="AR114" s="25">
        <f t="shared" si="309" ref="AR114:AW114">SUM(AR111:AR113)</f>
        <v>1627</v>
      </c>
      <c r="AS114" s="25">
        <f t="shared" si="309"/>
        <v>1616</v>
      </c>
      <c r="AT114" s="25">
        <f t="shared" si="309"/>
        <v>1619</v>
      </c>
      <c r="AU114" s="982">
        <f t="shared" si="309"/>
        <v>6489</v>
      </c>
      <c r="AV114" s="25">
        <f t="shared" si="309"/>
        <v>1639</v>
      </c>
      <c r="AW114" s="25">
        <f t="shared" si="309"/>
        <v>1628</v>
      </c>
      <c r="AX114" s="25">
        <f t="shared" si="310" ref="AX114:BJ114">SUM(AX111:AX113)</f>
        <v>1598</v>
      </c>
      <c r="AY114" s="25">
        <f t="shared" si="310"/>
        <v>1621</v>
      </c>
      <c r="AZ114" s="982">
        <f t="shared" si="310"/>
        <v>6486</v>
      </c>
      <c r="BA114" s="25">
        <f t="shared" si="311" ref="BA114:BI114">SUM(BA111:BA113)</f>
        <v>1660</v>
      </c>
      <c r="BB114" s="25">
        <f t="shared" si="311"/>
        <v>1663</v>
      </c>
      <c r="BC114" s="25">
        <f t="shared" si="311"/>
        <v>1661</v>
      </c>
      <c r="BD114" s="25">
        <f t="shared" si="311"/>
        <v>1639</v>
      </c>
      <c r="BE114" s="982">
        <f t="shared" si="311"/>
        <v>6623</v>
      </c>
      <c r="BF114" s="25">
        <f>SUM(BF111:BF113)</f>
        <v>1699</v>
      </c>
      <c r="BG114" s="25">
        <f>SUM(BG111:BG113)</f>
        <v>1684</v>
      </c>
      <c r="BH114" s="749">
        <f>SUM(BH111:BH113)</f>
        <v>1684</v>
      </c>
      <c r="BI114" s="25">
        <f t="shared" si="311"/>
        <v>1672.2705601092898</v>
      </c>
      <c r="BJ114" s="982">
        <f t="shared" si="310"/>
        <v>6739.2705601092894</v>
      </c>
      <c r="BK114" s="25">
        <f t="shared" si="312" ref="BK114:BR114">SUM(BK111:BK113)</f>
        <v>1693.3461986301368</v>
      </c>
      <c r="BL114" s="25">
        <f t="shared" si="312"/>
        <v>1675.0137945205479</v>
      </c>
      <c r="BM114" s="25">
        <f t="shared" si="312"/>
        <v>1684.6931506849314</v>
      </c>
      <c r="BN114" s="25">
        <f t="shared" si="312"/>
        <v>1690.6782308219179</v>
      </c>
      <c r="BO114" s="982">
        <f t="shared" si="312"/>
        <v>6743.7313746575346</v>
      </c>
      <c r="BP114" s="982">
        <f t="shared" si="312"/>
        <v>6690.4077559687503</v>
      </c>
      <c r="BQ114" s="982">
        <f t="shared" si="312"/>
        <v>6758.5245106321863</v>
      </c>
      <c r="BR114" s="982">
        <f t="shared" si="312"/>
        <v>6828.7180848631206</v>
      </c>
      <c r="BS114" s="100"/>
    </row>
    <row r="115" spans="1:71" s="224" customFormat="1" ht="15" hidden="1" outlineLevel="1">
      <c r="A115" s="362" t="s">
        <v>342</v>
      </c>
      <c r="B115" s="389"/>
      <c r="C115" s="992">
        <v>2561</v>
      </c>
      <c r="D115" s="992">
        <v>2553</v>
      </c>
      <c r="E115" s="992">
        <v>2713</v>
      </c>
      <c r="F115" s="992">
        <v>2834</v>
      </c>
      <c r="G115" s="992">
        <v>2889</v>
      </c>
      <c r="H115" s="891">
        <v>686</v>
      </c>
      <c r="I115" s="891">
        <v>708</v>
      </c>
      <c r="J115" s="891">
        <v>722</v>
      </c>
      <c r="K115" s="176">
        <f>L115-SUM(H115,I115,J115)</f>
        <v>737</v>
      </c>
      <c r="L115" s="992">
        <v>2853</v>
      </c>
      <c r="M115" s="891">
        <v>710</v>
      </c>
      <c r="N115" s="891">
        <v>715</v>
      </c>
      <c r="O115" s="891">
        <v>735</v>
      </c>
      <c r="P115" s="176">
        <f>Q115-SUM(M115,N115,O115)</f>
        <v>713</v>
      </c>
      <c r="Q115" s="992">
        <v>2873</v>
      </c>
      <c r="R115" s="891">
        <v>690</v>
      </c>
      <c r="S115" s="891">
        <v>743</v>
      </c>
      <c r="T115" s="891">
        <v>715</v>
      </c>
      <c r="U115" s="176">
        <f>V115-SUM(R115,S115,T115)</f>
        <v>721</v>
      </c>
      <c r="V115" s="992">
        <v>2869</v>
      </c>
      <c r="W115" s="891">
        <v>710</v>
      </c>
      <c r="X115" s="891">
        <v>715</v>
      </c>
      <c r="Y115" s="891">
        <v>731</v>
      </c>
      <c r="Z115" s="176">
        <f>AA115-SUM(W115,X115,Y115)</f>
        <v>729</v>
      </c>
      <c r="AA115" s="992">
        <v>2885</v>
      </c>
      <c r="AB115" s="891">
        <v>697</v>
      </c>
      <c r="AC115" s="891">
        <v>744</v>
      </c>
      <c r="AD115" s="891">
        <v>722</v>
      </c>
      <c r="AE115" s="176">
        <f>AF115-SUM(AB115,AC115,AD115)</f>
        <v>724</v>
      </c>
      <c r="AF115" s="992">
        <v>2887</v>
      </c>
      <c r="AG115" s="891">
        <v>721</v>
      </c>
      <c r="AH115" s="891">
        <v>732</v>
      </c>
      <c r="AI115" s="891">
        <v>710</v>
      </c>
      <c r="AJ115" s="176">
        <f>AK115-SUM(AG115,AH115,AI115)</f>
        <v>708</v>
      </c>
      <c r="AK115" s="992">
        <v>2871</v>
      </c>
      <c r="AL115" s="891">
        <v>713</v>
      </c>
      <c r="AM115" s="891">
        <v>646</v>
      </c>
      <c r="AN115" s="891">
        <v>679</v>
      </c>
      <c r="AO115" s="176">
        <f>AP115-SUM(AL115,AM115,AN115)</f>
        <v>727</v>
      </c>
      <c r="AP115" s="992">
        <v>2765</v>
      </c>
      <c r="AQ115" s="891">
        <v>556</v>
      </c>
      <c r="AR115" s="891">
        <v>613</v>
      </c>
      <c r="AS115" s="891">
        <v>628</v>
      </c>
      <c r="AT115" s="891">
        <v>649</v>
      </c>
      <c r="AU115" s="992">
        <v>2447</v>
      </c>
      <c r="AV115" s="891">
        <v>666</v>
      </c>
      <c r="AW115" s="891">
        <v>658</v>
      </c>
      <c r="AX115" s="891">
        <v>616</v>
      </c>
      <c r="AY115" s="891">
        <v>614</v>
      </c>
      <c r="AZ115" s="992">
        <v>2555</v>
      </c>
      <c r="BA115" s="891">
        <v>651</v>
      </c>
      <c r="BB115" s="891">
        <v>645</v>
      </c>
      <c r="BC115" s="891">
        <v>510</v>
      </c>
      <c r="BD115" s="891">
        <v>626</v>
      </c>
      <c r="BE115" s="992">
        <v>2431</v>
      </c>
      <c r="BF115" s="891">
        <v>686</v>
      </c>
      <c r="BG115" s="891">
        <v>680</v>
      </c>
      <c r="BH115" s="892">
        <v>694</v>
      </c>
      <c r="BI115" s="176">
        <f t="shared" si="313" ref="BI115:BI118">BI$114*BI123</f>
        <v>702.35363524590173</v>
      </c>
      <c r="BJ115" s="971">
        <f>SUM(BF115,BG115,BH115,BI115)</f>
        <v>2762.3536352459018</v>
      </c>
      <c r="BK115" s="176">
        <f t="shared" si="314" ref="BK115:BN118">BK$114*BK123</f>
        <v>643.47155547945204</v>
      </c>
      <c r="BL115" s="176">
        <f t="shared" si="314"/>
        <v>619.75510397260268</v>
      </c>
      <c r="BM115" s="176">
        <f t="shared" si="314"/>
        <v>640.18339726027398</v>
      </c>
      <c r="BN115" s="176">
        <f t="shared" si="314"/>
        <v>642.45772771232885</v>
      </c>
      <c r="BO115" s="971">
        <f>SUM(BK115,BL115,BM115,BN115)</f>
        <v>2545.8677844246577</v>
      </c>
      <c r="BP115" s="971">
        <f t="shared" si="315" ref="BP115:BR118">BP$114*BP123</f>
        <v>2475.4508697084375</v>
      </c>
      <c r="BQ115" s="971">
        <f t="shared" si="315"/>
        <v>2703.4098042528749</v>
      </c>
      <c r="BR115" s="971">
        <f t="shared" si="315"/>
        <v>2731.4872339452486</v>
      </c>
      <c r="BS115" s="229"/>
    </row>
    <row r="116" spans="1:71" s="224" customFormat="1" ht="15" hidden="1" outlineLevel="1">
      <c r="A116" s="362" t="s">
        <v>343</v>
      </c>
      <c r="B116" s="389"/>
      <c r="C116" s="992">
        <v>419</v>
      </c>
      <c r="D116" s="992">
        <v>395</v>
      </c>
      <c r="E116" s="992">
        <v>383</v>
      </c>
      <c r="F116" s="992">
        <v>400</v>
      </c>
      <c r="G116" s="992">
        <v>433</v>
      </c>
      <c r="H116" s="891">
        <v>130</v>
      </c>
      <c r="I116" s="891">
        <v>108</v>
      </c>
      <c r="J116" s="891">
        <v>112</v>
      </c>
      <c r="K116" s="176">
        <f>L116-SUM(H116,I116,J116)</f>
        <v>109</v>
      </c>
      <c r="L116" s="992">
        <v>459</v>
      </c>
      <c r="M116" s="891">
        <v>128</v>
      </c>
      <c r="N116" s="891">
        <v>113</v>
      </c>
      <c r="O116" s="891">
        <v>114</v>
      </c>
      <c r="P116" s="176">
        <f>Q116-SUM(M116,N116,O116)</f>
        <v>133</v>
      </c>
      <c r="Q116" s="992">
        <v>488</v>
      </c>
      <c r="R116" s="891">
        <v>141</v>
      </c>
      <c r="S116" s="891">
        <v>117</v>
      </c>
      <c r="T116" s="891">
        <v>116</v>
      </c>
      <c r="U116" s="176">
        <f>V116-SUM(R116,S116,T116)</f>
        <v>123</v>
      </c>
      <c r="V116" s="992">
        <v>497</v>
      </c>
      <c r="W116" s="891">
        <v>140</v>
      </c>
      <c r="X116" s="891">
        <v>116</v>
      </c>
      <c r="Y116" s="891">
        <v>116</v>
      </c>
      <c r="Z116" s="176">
        <f>AA116-SUM(W116,X116,Y116)</f>
        <v>130</v>
      </c>
      <c r="AA116" s="992">
        <v>502</v>
      </c>
      <c r="AB116" s="891">
        <v>146</v>
      </c>
      <c r="AC116" s="891">
        <v>123</v>
      </c>
      <c r="AD116" s="891">
        <v>133</v>
      </c>
      <c r="AE116" s="176">
        <f>AF116-SUM(AB116,AC116,AD116)</f>
        <v>132</v>
      </c>
      <c r="AF116" s="992">
        <v>534</v>
      </c>
      <c r="AG116" s="891">
        <v>159</v>
      </c>
      <c r="AH116" s="891">
        <v>131</v>
      </c>
      <c r="AI116" s="891">
        <v>139</v>
      </c>
      <c r="AJ116" s="176">
        <f>AK116-SUM(AG116,AH116,AI116)</f>
        <v>144</v>
      </c>
      <c r="AK116" s="992">
        <v>573</v>
      </c>
      <c r="AL116" s="891">
        <v>160</v>
      </c>
      <c r="AM116" s="891">
        <v>134</v>
      </c>
      <c r="AN116" s="891">
        <v>141</v>
      </c>
      <c r="AO116" s="176">
        <f>AP116-SUM(AL116,AM116,AN116)</f>
        <v>135</v>
      </c>
      <c r="AP116" s="992">
        <v>570</v>
      </c>
      <c r="AQ116" s="891">
        <v>139</v>
      </c>
      <c r="AR116" s="891">
        <v>111</v>
      </c>
      <c r="AS116" s="891">
        <v>123</v>
      </c>
      <c r="AT116" s="891">
        <v>143</v>
      </c>
      <c r="AU116" s="992">
        <v>517</v>
      </c>
      <c r="AV116" s="891">
        <v>114</v>
      </c>
      <c r="AW116" s="891">
        <v>113</v>
      </c>
      <c r="AX116" s="891">
        <v>114</v>
      </c>
      <c r="AY116" s="891">
        <v>115</v>
      </c>
      <c r="AZ116" s="992">
        <v>455</v>
      </c>
      <c r="BA116" s="891">
        <v>119</v>
      </c>
      <c r="BB116" s="891">
        <v>120</v>
      </c>
      <c r="BC116" s="891">
        <v>122</v>
      </c>
      <c r="BD116" s="891">
        <v>129</v>
      </c>
      <c r="BE116" s="992">
        <v>490</v>
      </c>
      <c r="BF116" s="891">
        <v>132</v>
      </c>
      <c r="BG116" s="891">
        <v>132</v>
      </c>
      <c r="BH116" s="892">
        <v>132</v>
      </c>
      <c r="BI116" s="176">
        <f t="shared" si="313"/>
        <v>145.4875387295082</v>
      </c>
      <c r="BJ116" s="971">
        <f>SUM(BF116,BG116,BH116,BI116)</f>
        <v>541.48753872950817</v>
      </c>
      <c r="BK116" s="176">
        <f t="shared" si="314"/>
        <v>118.53423390410958</v>
      </c>
      <c r="BL116" s="176">
        <f t="shared" si="314"/>
        <v>100.50082767123287</v>
      </c>
      <c r="BM116" s="176">
        <f t="shared" si="314"/>
        <v>146.56830410958904</v>
      </c>
      <c r="BN116" s="176">
        <f t="shared" si="314"/>
        <v>147.08900608150685</v>
      </c>
      <c r="BO116" s="971">
        <f>SUM(BK116,BL116,BM116,BN116)</f>
        <v>512.69237176643833</v>
      </c>
      <c r="BP116" s="971">
        <f t="shared" si="315"/>
        <v>582.0654747692812</v>
      </c>
      <c r="BQ116" s="971">
        <f t="shared" si="315"/>
        <v>587.99163242500015</v>
      </c>
      <c r="BR116" s="971">
        <f t="shared" si="315"/>
        <v>594.09847338309146</v>
      </c>
      <c r="BS116" s="229"/>
    </row>
    <row r="117" spans="1:71" s="224" customFormat="1" ht="15" hidden="1" outlineLevel="1">
      <c r="A117" s="362" t="s">
        <v>344</v>
      </c>
      <c r="B117" s="389"/>
      <c r="C117" s="992">
        <v>508</v>
      </c>
      <c r="D117" s="992">
        <v>534</v>
      </c>
      <c r="E117" s="992">
        <v>546</v>
      </c>
      <c r="F117" s="992">
        <v>570</v>
      </c>
      <c r="G117" s="992">
        <v>583</v>
      </c>
      <c r="H117" s="891">
        <v>145</v>
      </c>
      <c r="I117" s="891">
        <v>148</v>
      </c>
      <c r="J117" s="891">
        <v>149</v>
      </c>
      <c r="K117" s="176">
        <f>L117-SUM(H117,I117,J117)</f>
        <v>148</v>
      </c>
      <c r="L117" s="992">
        <v>590</v>
      </c>
      <c r="M117" s="891">
        <v>147</v>
      </c>
      <c r="N117" s="891">
        <v>146</v>
      </c>
      <c r="O117" s="891">
        <v>148</v>
      </c>
      <c r="P117" s="176">
        <f>Q117-SUM(M117,N117,O117)</f>
        <v>144</v>
      </c>
      <c r="Q117" s="992">
        <v>585</v>
      </c>
      <c r="R117" s="891">
        <v>146</v>
      </c>
      <c r="S117" s="891">
        <v>147</v>
      </c>
      <c r="T117" s="891">
        <v>145</v>
      </c>
      <c r="U117" s="176">
        <f>V117-SUM(R117,S117,T117)</f>
        <v>142</v>
      </c>
      <c r="V117" s="992">
        <v>580</v>
      </c>
      <c r="W117" s="891">
        <v>145</v>
      </c>
      <c r="X117" s="891">
        <v>146</v>
      </c>
      <c r="Y117" s="891">
        <v>146</v>
      </c>
      <c r="Z117" s="176">
        <f>AA117-SUM(W117,X117,Y117)</f>
        <v>143</v>
      </c>
      <c r="AA117" s="992">
        <v>580</v>
      </c>
      <c r="AB117" s="891">
        <v>147</v>
      </c>
      <c r="AC117" s="891">
        <v>145</v>
      </c>
      <c r="AD117" s="891">
        <v>146</v>
      </c>
      <c r="AE117" s="176">
        <f>AF117-SUM(AB117,AC117,AD117)</f>
        <v>147</v>
      </c>
      <c r="AF117" s="992">
        <v>585</v>
      </c>
      <c r="AG117" s="891">
        <v>149</v>
      </c>
      <c r="AH117" s="891">
        <v>150</v>
      </c>
      <c r="AI117" s="891">
        <v>145</v>
      </c>
      <c r="AJ117" s="176">
        <f>AK117-SUM(AG117,AH117,AI117)</f>
        <v>146</v>
      </c>
      <c r="AK117" s="992">
        <v>590</v>
      </c>
      <c r="AL117" s="891">
        <v>151</v>
      </c>
      <c r="AM117" s="891">
        <v>148</v>
      </c>
      <c r="AN117" s="891">
        <v>140</v>
      </c>
      <c r="AO117" s="176">
        <f>AP117-SUM(AL117,AM117,AN117)</f>
        <v>137</v>
      </c>
      <c r="AP117" s="992">
        <v>576</v>
      </c>
      <c r="AQ117" s="891">
        <v>139</v>
      </c>
      <c r="AR117" s="891">
        <v>136</v>
      </c>
      <c r="AS117" s="891">
        <v>136</v>
      </c>
      <c r="AT117" s="891">
        <v>138</v>
      </c>
      <c r="AU117" s="992">
        <v>550</v>
      </c>
      <c r="AV117" s="891">
        <v>140</v>
      </c>
      <c r="AW117" s="891">
        <v>137</v>
      </c>
      <c r="AX117" s="891">
        <v>135</v>
      </c>
      <c r="AY117" s="891">
        <v>142</v>
      </c>
      <c r="AZ117" s="992">
        <v>553</v>
      </c>
      <c r="BA117" s="891">
        <v>142</v>
      </c>
      <c r="BB117" s="891">
        <v>140</v>
      </c>
      <c r="BC117" s="891">
        <v>138</v>
      </c>
      <c r="BD117" s="891">
        <v>142</v>
      </c>
      <c r="BE117" s="992">
        <v>561</v>
      </c>
      <c r="BF117" s="891">
        <v>141</v>
      </c>
      <c r="BG117" s="891">
        <v>140</v>
      </c>
      <c r="BH117" s="892">
        <v>141</v>
      </c>
      <c r="BI117" s="176">
        <f t="shared" si="313"/>
        <v>158.86570321038255</v>
      </c>
      <c r="BJ117" s="971">
        <f>SUM(BF117,BG117,BH117,BI117)</f>
        <v>580.86570321038255</v>
      </c>
      <c r="BK117" s="176">
        <f t="shared" si="314"/>
        <v>160.86788886986301</v>
      </c>
      <c r="BL117" s="176">
        <f t="shared" si="314"/>
        <v>117.25096561643836</v>
      </c>
      <c r="BM117" s="176">
        <f t="shared" si="314"/>
        <v>160.04584931506849</v>
      </c>
      <c r="BN117" s="176">
        <f t="shared" si="314"/>
        <v>160.61443192808221</v>
      </c>
      <c r="BO117" s="971">
        <f>SUM(BK117,BL117,BM117,BN117)</f>
        <v>598.77913572945204</v>
      </c>
      <c r="BP117" s="971">
        <f t="shared" si="315"/>
        <v>635.58873681703142</v>
      </c>
      <c r="BQ117" s="971">
        <f t="shared" si="315"/>
        <v>642.05982851005786</v>
      </c>
      <c r="BR117" s="971">
        <f t="shared" si="315"/>
        <v>648.72821806199659</v>
      </c>
      <c r="BS117" s="229"/>
    </row>
    <row r="118" spans="1:71" s="224" customFormat="1" ht="15" hidden="1" outlineLevel="1">
      <c r="A118" s="362" t="s">
        <v>345</v>
      </c>
      <c r="B118" s="389"/>
      <c r="C118" s="992">
        <v>689</v>
      </c>
      <c r="D118" s="992">
        <v>742</v>
      </c>
      <c r="E118" s="992">
        <v>795</v>
      </c>
      <c r="F118" s="992">
        <v>827</v>
      </c>
      <c r="G118" s="992">
        <v>848</v>
      </c>
      <c r="H118" s="891">
        <v>191</v>
      </c>
      <c r="I118" s="891">
        <v>209</v>
      </c>
      <c r="J118" s="891">
        <v>216</v>
      </c>
      <c r="K118" s="176">
        <f>L118-SUM(H118,I118,J118)</f>
        <v>268</v>
      </c>
      <c r="L118" s="992">
        <v>884</v>
      </c>
      <c r="M118" s="891">
        <v>238</v>
      </c>
      <c r="N118" s="891">
        <v>234</v>
      </c>
      <c r="O118" s="891">
        <v>237</v>
      </c>
      <c r="P118" s="176">
        <f>Q118-SUM(M118,N118,O118)</f>
        <v>277</v>
      </c>
      <c r="Q118" s="992">
        <v>986</v>
      </c>
      <c r="R118" s="891">
        <v>235</v>
      </c>
      <c r="S118" s="891">
        <v>240</v>
      </c>
      <c r="T118" s="891">
        <v>243</v>
      </c>
      <c r="U118" s="176">
        <f>V118-SUM(R118,S118,T118)</f>
        <v>295</v>
      </c>
      <c r="V118" s="992">
        <v>1013</v>
      </c>
      <c r="W118" s="891">
        <v>264</v>
      </c>
      <c r="X118" s="891">
        <v>263</v>
      </c>
      <c r="Y118" s="891">
        <v>266</v>
      </c>
      <c r="Z118" s="176">
        <f>AA118-SUM(W118,X118,Y118)</f>
        <v>284</v>
      </c>
      <c r="AA118" s="992">
        <v>1077</v>
      </c>
      <c r="AB118" s="891">
        <v>277</v>
      </c>
      <c r="AC118" s="891">
        <v>258</v>
      </c>
      <c r="AD118" s="891">
        <v>281</v>
      </c>
      <c r="AE118" s="176">
        <f>AF118-SUM(AB118,AC118,AD118)</f>
        <v>336</v>
      </c>
      <c r="AF118" s="992">
        <v>1152</v>
      </c>
      <c r="AG118" s="891">
        <v>288</v>
      </c>
      <c r="AH118" s="891">
        <v>290</v>
      </c>
      <c r="AI118" s="891">
        <v>301</v>
      </c>
      <c r="AJ118" s="176">
        <f>AK118-SUM(AG118,AH118,AI118)</f>
        <v>365</v>
      </c>
      <c r="AK118" s="992">
        <v>1244</v>
      </c>
      <c r="AL118" s="891">
        <v>337</v>
      </c>
      <c r="AM118" s="891">
        <v>302</v>
      </c>
      <c r="AN118" s="891">
        <v>316</v>
      </c>
      <c r="AO118" s="176">
        <f>AP118-SUM(AL118,AM118,AN118)</f>
        <v>431</v>
      </c>
      <c r="AP118" s="992">
        <v>1386</v>
      </c>
      <c r="AQ118" s="891">
        <v>347</v>
      </c>
      <c r="AR118" s="891">
        <v>354</v>
      </c>
      <c r="AS118" s="891">
        <v>370</v>
      </c>
      <c r="AT118" s="176">
        <f>AU118-SUM(AQ118,AR118,AS118)</f>
        <v>427</v>
      </c>
      <c r="AU118" s="992">
        <v>1498</v>
      </c>
      <c r="AV118" s="891">
        <v>387</v>
      </c>
      <c r="AW118" s="891">
        <v>377</v>
      </c>
      <c r="AX118" s="891">
        <v>389</v>
      </c>
      <c r="AY118" s="891">
        <v>411</v>
      </c>
      <c r="AZ118" s="992">
        <v>1564</v>
      </c>
      <c r="BA118" s="891">
        <v>395</v>
      </c>
      <c r="BB118" s="891">
        <v>389</v>
      </c>
      <c r="BC118" s="884">
        <v>414</v>
      </c>
      <c r="BD118" s="884">
        <v>442</v>
      </c>
      <c r="BE118" s="984">
        <v>1640</v>
      </c>
      <c r="BF118" s="891">
        <v>384</v>
      </c>
      <c r="BG118" s="891">
        <v>350</v>
      </c>
      <c r="BH118" s="905">
        <v>367</v>
      </c>
      <c r="BI118" s="176">
        <f t="shared" si="313"/>
        <v>351.17681762295086</v>
      </c>
      <c r="BJ118" s="971">
        <f>SUM(BF118,BG118,BH118,BI118)</f>
        <v>1452.1768176229509</v>
      </c>
      <c r="BK118" s="176">
        <f t="shared" si="314"/>
        <v>338.6692397260274</v>
      </c>
      <c r="BL118" s="176">
        <f t="shared" si="314"/>
        <v>335.00275890410961</v>
      </c>
      <c r="BM118" s="176">
        <f t="shared" si="314"/>
        <v>336.93863013698632</v>
      </c>
      <c r="BN118" s="176">
        <f t="shared" si="314"/>
        <v>338.13564616438362</v>
      </c>
      <c r="BO118" s="971">
        <f>SUM(BK118,BL118,BM118,BN118)</f>
        <v>1348.7462749315071</v>
      </c>
      <c r="BP118" s="971">
        <f t="shared" si="315"/>
        <v>1338.0815511937501</v>
      </c>
      <c r="BQ118" s="971">
        <f t="shared" si="315"/>
        <v>1351.7049021264374</v>
      </c>
      <c r="BR118" s="971">
        <f t="shared" si="315"/>
        <v>1365.7436169726243</v>
      </c>
      <c r="BS118" s="229"/>
    </row>
    <row r="119" spans="1:71" s="44" customFormat="1" ht="15" hidden="1" outlineLevel="1">
      <c r="A119" s="366" t="s">
        <v>346</v>
      </c>
      <c r="B119" s="386"/>
      <c r="C119" s="982">
        <f t="shared" si="316" ref="C119:AS119">C114-SUM(C115:C118)</f>
        <v>776</v>
      </c>
      <c r="D119" s="982">
        <f t="shared" si="316"/>
        <v>922</v>
      </c>
      <c r="E119" s="982">
        <f t="shared" si="316"/>
        <v>904</v>
      </c>
      <c r="F119" s="982">
        <f t="shared" si="316"/>
        <v>997</v>
      </c>
      <c r="G119" s="982">
        <f t="shared" si="316"/>
        <v>1038</v>
      </c>
      <c r="H119" s="25">
        <f t="shared" si="316"/>
        <v>303</v>
      </c>
      <c r="I119" s="25">
        <f t="shared" si="316"/>
        <v>300</v>
      </c>
      <c r="J119" s="25">
        <f t="shared" si="316"/>
        <v>269</v>
      </c>
      <c r="K119" s="25">
        <f t="shared" si="316"/>
        <v>201</v>
      </c>
      <c r="L119" s="982">
        <f t="shared" si="316"/>
        <v>1073</v>
      </c>
      <c r="M119" s="25">
        <f t="shared" si="316"/>
        <v>285</v>
      </c>
      <c r="N119" s="25">
        <f t="shared" si="316"/>
        <v>293</v>
      </c>
      <c r="O119" s="25">
        <f t="shared" si="316"/>
        <v>286</v>
      </c>
      <c r="P119" s="25">
        <f t="shared" si="316"/>
        <v>237</v>
      </c>
      <c r="Q119" s="982">
        <f t="shared" si="316"/>
        <v>1101</v>
      </c>
      <c r="R119" s="25">
        <f t="shared" si="316"/>
        <v>332</v>
      </c>
      <c r="S119" s="25">
        <f t="shared" si="316"/>
        <v>291</v>
      </c>
      <c r="T119" s="25">
        <f t="shared" si="316"/>
        <v>323</v>
      </c>
      <c r="U119" s="25">
        <f t="shared" si="316"/>
        <v>262</v>
      </c>
      <c r="V119" s="982">
        <f t="shared" si="316"/>
        <v>1208</v>
      </c>
      <c r="W119" s="25">
        <f t="shared" si="316"/>
        <v>310</v>
      </c>
      <c r="X119" s="25">
        <f t="shared" si="316"/>
        <v>330</v>
      </c>
      <c r="Y119" s="25">
        <f t="shared" si="316"/>
        <v>316</v>
      </c>
      <c r="Z119" s="25">
        <f t="shared" si="316"/>
        <v>289</v>
      </c>
      <c r="AA119" s="982">
        <f t="shared" si="316"/>
        <v>1245</v>
      </c>
      <c r="AB119" s="25">
        <f t="shared" si="316"/>
        <v>337</v>
      </c>
      <c r="AC119" s="25">
        <f t="shared" si="316"/>
        <v>340</v>
      </c>
      <c r="AD119" s="25">
        <f t="shared" si="316"/>
        <v>334</v>
      </c>
      <c r="AE119" s="25">
        <f t="shared" si="316"/>
        <v>274</v>
      </c>
      <c r="AF119" s="982">
        <f t="shared" si="316"/>
        <v>1285</v>
      </c>
      <c r="AG119" s="25">
        <f t="shared" si="316"/>
        <v>323</v>
      </c>
      <c r="AH119" s="25">
        <f t="shared" si="316"/>
        <v>338</v>
      </c>
      <c r="AI119" s="25">
        <f t="shared" si="316"/>
        <v>335</v>
      </c>
      <c r="AJ119" s="25">
        <f t="shared" si="316"/>
        <v>276</v>
      </c>
      <c r="AK119" s="982">
        <f t="shared" si="316"/>
        <v>1272</v>
      </c>
      <c r="AL119" s="25">
        <f t="shared" si="316"/>
        <v>326</v>
      </c>
      <c r="AM119" s="25">
        <f t="shared" si="316"/>
        <v>426</v>
      </c>
      <c r="AN119" s="25">
        <f t="shared" si="316"/>
        <v>330</v>
      </c>
      <c r="AO119" s="25">
        <f t="shared" si="316"/>
        <v>187</v>
      </c>
      <c r="AP119" s="982">
        <f t="shared" si="316"/>
        <v>1268</v>
      </c>
      <c r="AQ119" s="25">
        <f t="shared" si="316"/>
        <v>447</v>
      </c>
      <c r="AR119" s="25">
        <f t="shared" si="316"/>
        <v>413</v>
      </c>
      <c r="AS119" s="25">
        <f t="shared" si="316"/>
        <v>359</v>
      </c>
      <c r="AT119" s="893">
        <v>261</v>
      </c>
      <c r="AU119" s="1000">
        <v>1478</v>
      </c>
      <c r="AV119" s="25">
        <f>AV114-SUM(AV115:AV118)</f>
        <v>332</v>
      </c>
      <c r="AW119" s="25">
        <f>AW114-SUM(AW115:AW118)</f>
        <v>343</v>
      </c>
      <c r="AX119" s="25">
        <f t="shared" si="317" ref="AX119">AX114-SUM(AX115:AX118)</f>
        <v>344</v>
      </c>
      <c r="AY119" s="25">
        <f t="shared" si="318" ref="AY119:AZ119">AY114-SUM(AY115:AY118)</f>
        <v>339</v>
      </c>
      <c r="AZ119" s="982">
        <f t="shared" si="318"/>
        <v>1359</v>
      </c>
      <c r="BA119" s="25">
        <f t="shared" si="319" ref="BA119:BI119">BA114-SUM(BA115:BA118)</f>
        <v>353</v>
      </c>
      <c r="BB119" s="25">
        <f t="shared" si="319"/>
        <v>369</v>
      </c>
      <c r="BC119" s="185">
        <f t="shared" si="319"/>
        <v>477</v>
      </c>
      <c r="BD119" s="185">
        <f t="shared" si="319"/>
        <v>300</v>
      </c>
      <c r="BE119" s="978">
        <f>BE114-SUM(BE115:BE118)</f>
        <v>1501</v>
      </c>
      <c r="BF119" s="25">
        <f>BF114-SUM(BF115:BF118)</f>
        <v>356</v>
      </c>
      <c r="BG119" s="25">
        <f>BG114-SUM(BG115:BG118)</f>
        <v>382</v>
      </c>
      <c r="BH119" s="552">
        <f>BH114-SUM(BH115:BH118)</f>
        <v>350</v>
      </c>
      <c r="BI119" s="25">
        <f t="shared" si="319"/>
        <v>314.38686530054656</v>
      </c>
      <c r="BJ119" s="982">
        <f t="shared" si="320" ref="BJ119">BJ114-SUM(BJ115:BJ118)</f>
        <v>1402.3868653005457</v>
      </c>
      <c r="BK119" s="25">
        <f t="shared" si="321" ref="BK119:BR119">BK114-SUM(BK115:BK118)</f>
        <v>431.80328065068488</v>
      </c>
      <c r="BL119" s="25">
        <f t="shared" si="321"/>
        <v>502.50413835616428</v>
      </c>
      <c r="BM119" s="25">
        <f t="shared" si="321"/>
        <v>400.95696986301368</v>
      </c>
      <c r="BN119" s="25">
        <f t="shared" si="321"/>
        <v>402.38141893561624</v>
      </c>
      <c r="BO119" s="982">
        <f t="shared" si="321"/>
        <v>1737.6458078054793</v>
      </c>
      <c r="BP119" s="982">
        <f t="shared" si="321"/>
        <v>1659.2211234802498</v>
      </c>
      <c r="BQ119" s="982">
        <f t="shared" si="321"/>
        <v>1473.3583433178164</v>
      </c>
      <c r="BR119" s="982">
        <f t="shared" si="321"/>
        <v>1488.6605425001599</v>
      </c>
      <c r="BS119" s="100"/>
    </row>
    <row r="120" spans="1:71" s="44" customFormat="1" ht="15" hidden="1" outlineLevel="1">
      <c r="A120" s="368"/>
      <c r="B120" s="397"/>
      <c r="C120" s="978"/>
      <c r="D120" s="978"/>
      <c r="E120" s="978"/>
      <c r="F120" s="978"/>
      <c r="G120" s="978"/>
      <c r="H120" s="185"/>
      <c r="I120" s="185"/>
      <c r="J120" s="185"/>
      <c r="K120" s="185"/>
      <c r="L120" s="978"/>
      <c r="M120" s="185"/>
      <c r="N120" s="185"/>
      <c r="O120" s="185"/>
      <c r="P120" s="185"/>
      <c r="Q120" s="978"/>
      <c r="R120" s="185"/>
      <c r="S120" s="185"/>
      <c r="T120" s="185"/>
      <c r="U120" s="185"/>
      <c r="V120" s="978"/>
      <c r="W120" s="185"/>
      <c r="X120" s="185"/>
      <c r="Y120" s="185"/>
      <c r="Z120" s="185"/>
      <c r="AA120" s="978"/>
      <c r="AB120" s="185"/>
      <c r="AC120" s="185"/>
      <c r="AD120" s="185"/>
      <c r="AE120" s="185"/>
      <c r="AF120" s="978"/>
      <c r="AG120" s="185"/>
      <c r="AH120" s="185"/>
      <c r="AI120" s="185"/>
      <c r="AJ120" s="185"/>
      <c r="AK120" s="978"/>
      <c r="AL120" s="185"/>
      <c r="AM120" s="185"/>
      <c r="AN120" s="185"/>
      <c r="AO120" s="185"/>
      <c r="AP120" s="978"/>
      <c r="AQ120" s="185"/>
      <c r="AR120" s="185"/>
      <c r="AS120" s="185"/>
      <c r="AT120" s="185"/>
      <c r="AU120" s="978"/>
      <c r="AV120" s="185"/>
      <c r="AW120" s="185"/>
      <c r="AX120" s="185"/>
      <c r="AY120" s="185"/>
      <c r="AZ120" s="978"/>
      <c r="BA120" s="185"/>
      <c r="BB120" s="185"/>
      <c r="BC120" s="185"/>
      <c r="BD120" s="185"/>
      <c r="BE120" s="978"/>
      <c r="BF120" s="185"/>
      <c r="BG120" s="185"/>
      <c r="BH120" s="552"/>
      <c r="BI120" s="185"/>
      <c r="BJ120" s="978"/>
      <c r="BK120" s="185"/>
      <c r="BL120" s="185"/>
      <c r="BM120" s="185"/>
      <c r="BN120" s="185"/>
      <c r="BO120" s="978"/>
      <c r="BP120" s="978"/>
      <c r="BQ120" s="978"/>
      <c r="BR120" s="978"/>
      <c r="BS120" s="100"/>
    </row>
    <row r="121" spans="1:71" s="44" customFormat="1" ht="15" hidden="1" outlineLevel="1">
      <c r="A121" s="415" t="s">
        <v>395</v>
      </c>
      <c r="B121" s="397"/>
      <c r="C121" s="996"/>
      <c r="D121" s="979">
        <f>D111/C111-1</f>
        <v>0.031953195319532002</v>
      </c>
      <c r="E121" s="979">
        <f>E111/D111-1</f>
        <v>0.034234627126035866</v>
      </c>
      <c r="F121" s="979">
        <f>F111/E111-1</f>
        <v>0.053341766814252622</v>
      </c>
      <c r="G121" s="979">
        <f>G111/F111-1</f>
        <v>0.031425140112089744</v>
      </c>
      <c r="H121" s="644"/>
      <c r="I121" s="644"/>
      <c r="J121" s="644"/>
      <c r="K121" s="644"/>
      <c r="L121" s="979">
        <f t="shared" si="322" ref="L121:AQ121">L111/G111-1</f>
        <v>0.011255579274209282</v>
      </c>
      <c r="M121" s="644">
        <f t="shared" si="322"/>
        <v>0.034775888717156089</v>
      </c>
      <c r="N121" s="644">
        <f t="shared" si="322"/>
        <v>0.015255530129671957</v>
      </c>
      <c r="O121" s="644">
        <f t="shared" si="322"/>
        <v>0.030627871362940207</v>
      </c>
      <c r="P121" s="644">
        <f t="shared" si="322"/>
        <v>0.02384615384615385</v>
      </c>
      <c r="Q121" s="979">
        <f t="shared" si="322"/>
        <v>0.026098637497601329</v>
      </c>
      <c r="R121" s="644">
        <f t="shared" si="322"/>
        <v>0.020911127707244237</v>
      </c>
      <c r="S121" s="644">
        <f t="shared" si="322"/>
        <v>0.023290758827948954</v>
      </c>
      <c r="T121" s="644">
        <f t="shared" si="322"/>
        <v>0.014115898959881079</v>
      </c>
      <c r="U121" s="644">
        <f t="shared" si="322"/>
        <v>0.021788129226145703</v>
      </c>
      <c r="V121" s="979">
        <f t="shared" si="322"/>
        <v>0.020011221245558319</v>
      </c>
      <c r="W121" s="644">
        <f t="shared" si="322"/>
        <v>0.016825164594001407</v>
      </c>
      <c r="X121" s="644">
        <f t="shared" si="322"/>
        <v>0.019089574155653377</v>
      </c>
      <c r="Y121" s="644">
        <f t="shared" si="322"/>
        <v>0.02051282051282044</v>
      </c>
      <c r="Z121" s="644">
        <f t="shared" si="322"/>
        <v>0.023529411764705799</v>
      </c>
      <c r="AA121" s="979">
        <f t="shared" si="322"/>
        <v>0.019985331866519962</v>
      </c>
      <c r="AB121" s="644">
        <f t="shared" si="322"/>
        <v>0.026618705035971191</v>
      </c>
      <c r="AC121" s="644">
        <f t="shared" si="322"/>
        <v>0.027377521613832778</v>
      </c>
      <c r="AD121" s="644">
        <f t="shared" si="322"/>
        <v>0.023689877961234673</v>
      </c>
      <c r="AE121" s="644">
        <f t="shared" si="322"/>
        <v>0.026580459770114917</v>
      </c>
      <c r="AF121" s="979">
        <f t="shared" si="322"/>
        <v>0.026065072802444744</v>
      </c>
      <c r="AG121" s="644">
        <f t="shared" si="322"/>
        <v>0.023826208829712758</v>
      </c>
      <c r="AH121" s="644">
        <f t="shared" si="322"/>
        <v>0.023141654978962034</v>
      </c>
      <c r="AI121" s="644">
        <f t="shared" si="322"/>
        <v>0.0133239831697054</v>
      </c>
      <c r="AJ121" s="644">
        <f t="shared" si="322"/>
        <v>0.0097970608817354865</v>
      </c>
      <c r="AK121" s="979">
        <f t="shared" si="322"/>
        <v>0.017519271198318087</v>
      </c>
      <c r="AL121" s="644">
        <f t="shared" si="322"/>
        <v>0.015058179329226595</v>
      </c>
      <c r="AM121" s="644">
        <f t="shared" si="322"/>
        <v>-0.00068540095956137748</v>
      </c>
      <c r="AN121" s="644">
        <f t="shared" si="322"/>
        <v>-0.026297577854671239</v>
      </c>
      <c r="AO121" s="644">
        <f t="shared" si="322"/>
        <v>-0.022869022869022815</v>
      </c>
      <c r="AP121" s="979">
        <f t="shared" si="322"/>
        <v>-0.0086088154269972073</v>
      </c>
      <c r="AQ121" s="644">
        <f t="shared" si="322"/>
        <v>-0.041132838840188812</v>
      </c>
      <c r="AR121" s="644">
        <f t="shared" si="323" ref="AR121:AW121">AR111/AM111-1</f>
        <v>-0.03429355281207136</v>
      </c>
      <c r="AS121" s="644">
        <f t="shared" si="323"/>
        <v>-0.0099502487562188602</v>
      </c>
      <c r="AT121" s="644">
        <f t="shared" si="323"/>
        <v>-0.013475177304964503</v>
      </c>
      <c r="AU121" s="979">
        <f t="shared" si="323"/>
        <v>-0.025008683570684309</v>
      </c>
      <c r="AV121" s="644">
        <f t="shared" si="323"/>
        <v>-0.0063291139240506666</v>
      </c>
      <c r="AW121" s="644">
        <f t="shared" si="323"/>
        <v>-0.0099431818181817677</v>
      </c>
      <c r="AX121" s="644">
        <f t="shared" si="324" ref="AX121:BC121">AX111/AS111-1</f>
        <v>-0.012921751615218913</v>
      </c>
      <c r="AY121" s="644">
        <f t="shared" si="324"/>
        <v>-0.0021567217828900587</v>
      </c>
      <c r="AZ121" s="979">
        <f t="shared" si="324"/>
        <v>-0.0078375489846811419</v>
      </c>
      <c r="BA121" s="644">
        <f t="shared" si="324"/>
        <v>0.010615711252653925</v>
      </c>
      <c r="BB121" s="644">
        <f t="shared" si="324"/>
        <v>0.02223816355810615</v>
      </c>
      <c r="BC121" s="644">
        <f t="shared" si="324"/>
        <v>0.032000000000000028</v>
      </c>
      <c r="BD121" s="644">
        <f>BD111/AY111-1</f>
        <v>0.010806916426512991</v>
      </c>
      <c r="BE121" s="979">
        <f>BE111/AZ111-1</f>
        <v>0.018850987432674993</v>
      </c>
      <c r="BF121" s="644">
        <f>BF111/BA111-1</f>
        <v>0.032913165266106548</v>
      </c>
      <c r="BG121" s="644">
        <f>BG111/BB111-1</f>
        <v>0.021052631578947434</v>
      </c>
      <c r="BH121" s="744">
        <f>BH111/BC111-1</f>
        <v>0.028188865398167673</v>
      </c>
      <c r="BI121" s="882">
        <v>0.04</v>
      </c>
      <c r="BJ121" s="979">
        <f>BJ111/BE111-1</f>
        <v>0.030505726872246619</v>
      </c>
      <c r="BK121" s="882">
        <v>0.005</v>
      </c>
      <c r="BL121" s="882">
        <v>0.005</v>
      </c>
      <c r="BM121" s="882">
        <v>0.005</v>
      </c>
      <c r="BN121" s="882">
        <v>0.005</v>
      </c>
      <c r="BO121" s="979">
        <f>BO111/BJ111-1</f>
        <v>0.0050000000000001155</v>
      </c>
      <c r="BP121" s="981">
        <v>0.0049999999999998934</v>
      </c>
      <c r="BQ121" s="981">
        <v>0.0049999999999998934</v>
      </c>
      <c r="BR121" s="981">
        <v>0.0049999999999998934</v>
      </c>
      <c r="BS121" s="100"/>
    </row>
    <row r="122" spans="1:71" s="44" customFormat="1" ht="15" hidden="1" outlineLevel="1">
      <c r="A122" s="368"/>
      <c r="B122" s="397"/>
      <c r="C122" s="978"/>
      <c r="D122" s="978"/>
      <c r="E122" s="978"/>
      <c r="F122" s="978"/>
      <c r="G122" s="978"/>
      <c r="H122" s="185"/>
      <c r="I122" s="185"/>
      <c r="J122" s="185"/>
      <c r="K122" s="185"/>
      <c r="L122" s="978"/>
      <c r="M122" s="185"/>
      <c r="N122" s="185"/>
      <c r="O122" s="185"/>
      <c r="P122" s="185"/>
      <c r="Q122" s="978"/>
      <c r="R122" s="185"/>
      <c r="S122" s="185"/>
      <c r="T122" s="185"/>
      <c r="U122" s="185"/>
      <c r="V122" s="978"/>
      <c r="W122" s="185"/>
      <c r="X122" s="185"/>
      <c r="Y122" s="185"/>
      <c r="Z122" s="185"/>
      <c r="AA122" s="978"/>
      <c r="AB122" s="185"/>
      <c r="AC122" s="185"/>
      <c r="AD122" s="185"/>
      <c r="AE122" s="185"/>
      <c r="AF122" s="978"/>
      <c r="AG122" s="185"/>
      <c r="AH122" s="185"/>
      <c r="AI122" s="185"/>
      <c r="AJ122" s="185"/>
      <c r="AK122" s="978"/>
      <c r="AL122" s="185"/>
      <c r="AM122" s="185"/>
      <c r="AN122" s="185"/>
      <c r="AO122" s="185"/>
      <c r="AP122" s="978"/>
      <c r="AQ122" s="185"/>
      <c r="AR122" s="185"/>
      <c r="AS122" s="185"/>
      <c r="AT122" s="185"/>
      <c r="AU122" s="978"/>
      <c r="AV122" s="185"/>
      <c r="AW122" s="185"/>
      <c r="AX122" s="185"/>
      <c r="AY122" s="185"/>
      <c r="AZ122" s="978"/>
      <c r="BA122" s="185"/>
      <c r="BB122" s="185"/>
      <c r="BC122" s="185"/>
      <c r="BD122" s="185"/>
      <c r="BE122" s="978"/>
      <c r="BF122" s="185"/>
      <c r="BG122" s="185"/>
      <c r="BH122" s="552"/>
      <c r="BI122" s="185"/>
      <c r="BJ122" s="978"/>
      <c r="BK122" s="185"/>
      <c r="BL122" s="185"/>
      <c r="BM122" s="185"/>
      <c r="BN122" s="185"/>
      <c r="BO122" s="978"/>
      <c r="BP122" s="978"/>
      <c r="BQ122" s="978"/>
      <c r="BR122" s="978"/>
      <c r="BS122" s="100"/>
    </row>
    <row r="123" spans="1:71" s="42" customFormat="1" ht="15" hidden="1" outlineLevel="1">
      <c r="A123" s="398" t="s">
        <v>332</v>
      </c>
      <c r="B123" s="393"/>
      <c r="C123" s="964">
        <f t="shared" si="325" ref="C123:AM123">C115/C114</f>
        <v>0.51706036745406825</v>
      </c>
      <c r="D123" s="964">
        <f t="shared" si="325"/>
        <v>0.49611348620287604</v>
      </c>
      <c r="E123" s="964">
        <f t="shared" si="325"/>
        <v>0.50795731136491296</v>
      </c>
      <c r="F123" s="964">
        <f t="shared" si="325"/>
        <v>0.5035536602700782</v>
      </c>
      <c r="G123" s="964">
        <f t="shared" si="325"/>
        <v>0.49887756864099464</v>
      </c>
      <c r="H123" s="395">
        <f t="shared" si="325"/>
        <v>0.47147766323024054</v>
      </c>
      <c r="I123" s="395">
        <f t="shared" si="325"/>
        <v>0.48065173116089616</v>
      </c>
      <c r="J123" s="395">
        <f t="shared" si="325"/>
        <v>0.49182561307901906</v>
      </c>
      <c r="K123" s="395">
        <f t="shared" si="325"/>
        <v>0.50375939849624063</v>
      </c>
      <c r="L123" s="964">
        <f t="shared" si="325"/>
        <v>0.48694316436251922</v>
      </c>
      <c r="M123" s="395">
        <f t="shared" si="325"/>
        <v>0.47082228116710878</v>
      </c>
      <c r="N123" s="395">
        <f t="shared" si="325"/>
        <v>0.47634910059960028</v>
      </c>
      <c r="O123" s="395">
        <f t="shared" si="325"/>
        <v>0.48355263157894735</v>
      </c>
      <c r="P123" s="395">
        <f t="shared" si="325"/>
        <v>0.47406914893617019</v>
      </c>
      <c r="Q123" s="964">
        <f t="shared" si="325"/>
        <v>0.47621415547820323</v>
      </c>
      <c r="R123" s="395">
        <f t="shared" si="325"/>
        <v>0.44689119170984454</v>
      </c>
      <c r="S123" s="395">
        <f t="shared" si="325"/>
        <v>0.48309492847854357</v>
      </c>
      <c r="T123" s="395">
        <f t="shared" si="325"/>
        <v>0.46368352788586253</v>
      </c>
      <c r="U123" s="395">
        <f t="shared" si="325"/>
        <v>0.46727154893065459</v>
      </c>
      <c r="V123" s="964">
        <f t="shared" si="325"/>
        <v>0.46521809631911787</v>
      </c>
      <c r="W123" s="395">
        <f t="shared" si="325"/>
        <v>0.45251752708731674</v>
      </c>
      <c r="X123" s="395">
        <f t="shared" si="325"/>
        <v>0.45541401273885351</v>
      </c>
      <c r="Y123" s="395">
        <f t="shared" si="325"/>
        <v>0.46412698412698411</v>
      </c>
      <c r="Z123" s="395">
        <f t="shared" si="325"/>
        <v>0.46285714285714286</v>
      </c>
      <c r="AA123" s="964">
        <f t="shared" si="325"/>
        <v>0.45873747813642868</v>
      </c>
      <c r="AB123" s="395">
        <f t="shared" si="325"/>
        <v>0.43453865336658354</v>
      </c>
      <c r="AC123" s="395">
        <f t="shared" si="325"/>
        <v>0.462111801242236</v>
      </c>
      <c r="AD123" s="395">
        <f t="shared" si="325"/>
        <v>0.44678217821782179</v>
      </c>
      <c r="AE123" s="395">
        <f t="shared" si="325"/>
        <v>0.44885306881587106</v>
      </c>
      <c r="AF123" s="964">
        <f t="shared" si="325"/>
        <v>0.44808319106006517</v>
      </c>
      <c r="AG123" s="395">
        <f t="shared" si="325"/>
        <v>0.43963414634146342</v>
      </c>
      <c r="AH123" s="395">
        <f t="shared" si="325"/>
        <v>0.44606946983546619</v>
      </c>
      <c r="AI123" s="395">
        <f t="shared" si="325"/>
        <v>0.43558282208588955</v>
      </c>
      <c r="AJ123" s="395">
        <f t="shared" si="325"/>
        <v>0.43197071384990848</v>
      </c>
      <c r="AK123" s="964">
        <f t="shared" si="325"/>
        <v>0.43832061068702288</v>
      </c>
      <c r="AL123" s="395">
        <f t="shared" si="325"/>
        <v>0.42264374629519857</v>
      </c>
      <c r="AM123" s="395">
        <f t="shared" si="325"/>
        <v>0.39009661835748793</v>
      </c>
      <c r="AN123" s="395">
        <f t="shared" si="326" ref="AN123:AQ123">AN115/AN114</f>
        <v>0.42278953922789542</v>
      </c>
      <c r="AO123" s="395">
        <f t="shared" si="326"/>
        <v>0.44959802102659246</v>
      </c>
      <c r="AP123" s="964">
        <f t="shared" si="326"/>
        <v>0.4211728865194212</v>
      </c>
      <c r="AQ123" s="395">
        <f t="shared" si="326"/>
        <v>0.34152334152334152</v>
      </c>
      <c r="AR123" s="395">
        <f t="shared" si="327" ref="AR123:AW123">AR115/AR114</f>
        <v>0.37676705593116167</v>
      </c>
      <c r="AS123" s="395">
        <f t="shared" si="327"/>
        <v>0.38861386138613863</v>
      </c>
      <c r="AT123" s="395">
        <f t="shared" si="327"/>
        <v>0.40086473131562694</v>
      </c>
      <c r="AU123" s="964">
        <f t="shared" si="327"/>
        <v>0.37709970719679459</v>
      </c>
      <c r="AV123" s="395">
        <f t="shared" si="327"/>
        <v>0.40634533251982918</v>
      </c>
      <c r="AW123" s="395">
        <f t="shared" si="327"/>
        <v>0.40417690417690416</v>
      </c>
      <c r="AX123" s="395">
        <f t="shared" si="328" ref="AX123:BC123">AX115/AX114</f>
        <v>0.38548185231539422</v>
      </c>
      <c r="AY123" s="395">
        <f t="shared" si="328"/>
        <v>0.37877853177051202</v>
      </c>
      <c r="AZ123" s="964">
        <f t="shared" si="328"/>
        <v>0.39392537773666358</v>
      </c>
      <c r="BA123" s="395">
        <f t="shared" si="328"/>
        <v>0.39216867469879518</v>
      </c>
      <c r="BB123" s="395">
        <f t="shared" si="328"/>
        <v>0.38785327720986168</v>
      </c>
      <c r="BC123" s="395">
        <f t="shared" si="328"/>
        <v>0.30704394942805541</v>
      </c>
      <c r="BD123" s="395">
        <f>BD115/BD114</f>
        <v>0.38194020744356316</v>
      </c>
      <c r="BE123" s="964">
        <f>BE115/BE114</f>
        <v>0.36705420504303188</v>
      </c>
      <c r="BF123" s="395">
        <f>BF115/BF114</f>
        <v>0.40376692171865802</v>
      </c>
      <c r="BG123" s="395">
        <f>BG115/BG114</f>
        <v>0.40380047505938244</v>
      </c>
      <c r="BH123" s="737">
        <f>BH115/BH114</f>
        <v>0.41211401425178146</v>
      </c>
      <c r="BI123" s="894">
        <v>0.42</v>
      </c>
      <c r="BJ123" s="964">
        <f>BJ115/BJ114</f>
        <v>0.4098891134593512</v>
      </c>
      <c r="BK123" s="894">
        <v>0.38</v>
      </c>
      <c r="BL123" s="894">
        <v>0.37</v>
      </c>
      <c r="BM123" s="894">
        <v>0.38</v>
      </c>
      <c r="BN123" s="894">
        <v>0.38</v>
      </c>
      <c r="BO123" s="964">
        <f>BO115/BO114</f>
        <v>0.37751619140582149</v>
      </c>
      <c r="BP123" s="993">
        <v>0.37</v>
      </c>
      <c r="BQ123" s="993">
        <v>0.40</v>
      </c>
      <c r="BR123" s="993">
        <v>0.40</v>
      </c>
      <c r="BS123" s="91"/>
    </row>
    <row r="124" spans="1:71" s="42" customFormat="1" ht="15" hidden="1" outlineLevel="1">
      <c r="A124" s="398" t="s">
        <v>333</v>
      </c>
      <c r="B124" s="393"/>
      <c r="C124" s="964">
        <f t="shared" si="329" ref="C124:AM124">C116/C114</f>
        <v>0.08459519483141531</v>
      </c>
      <c r="D124" s="964">
        <f t="shared" si="329"/>
        <v>0.076758647493198606</v>
      </c>
      <c r="E124" s="964">
        <f t="shared" si="329"/>
        <v>0.071709417712038939</v>
      </c>
      <c r="F124" s="964">
        <f t="shared" si="329"/>
        <v>0.071073205401563616</v>
      </c>
      <c r="G124" s="964">
        <f t="shared" si="329"/>
        <v>0.074771196684510446</v>
      </c>
      <c r="H124" s="395">
        <f t="shared" si="329"/>
        <v>0.089347079037800689</v>
      </c>
      <c r="I124" s="395">
        <f t="shared" si="329"/>
        <v>0.073319755600814662</v>
      </c>
      <c r="J124" s="395">
        <f t="shared" si="329"/>
        <v>0.076294277929155316</v>
      </c>
      <c r="K124" s="395">
        <f t="shared" si="329"/>
        <v>0.074504442925495559</v>
      </c>
      <c r="L124" s="964">
        <f t="shared" si="329"/>
        <v>0.078341013824884786</v>
      </c>
      <c r="M124" s="395">
        <f t="shared" si="329"/>
        <v>0.084880636604774531</v>
      </c>
      <c r="N124" s="395">
        <f t="shared" si="329"/>
        <v>0.075283144570286481</v>
      </c>
      <c r="O124" s="395">
        <f t="shared" si="329"/>
        <v>0.075</v>
      </c>
      <c r="P124" s="395">
        <f t="shared" si="329"/>
        <v>0.088430851063829793</v>
      </c>
      <c r="Q124" s="964">
        <f t="shared" si="329"/>
        <v>0.08088844687551798</v>
      </c>
      <c r="R124" s="395">
        <f t="shared" si="329"/>
        <v>0.091321243523316067</v>
      </c>
      <c r="S124" s="395">
        <f t="shared" si="329"/>
        <v>0.076072821846553965</v>
      </c>
      <c r="T124" s="395">
        <f t="shared" si="329"/>
        <v>0.075226977950713356</v>
      </c>
      <c r="U124" s="395">
        <f t="shared" si="329"/>
        <v>0.079714841218405705</v>
      </c>
      <c r="V124" s="964">
        <f t="shared" si="329"/>
        <v>0.080590238365493755</v>
      </c>
      <c r="W124" s="395">
        <f t="shared" si="329"/>
        <v>0.089228808158062459</v>
      </c>
      <c r="X124" s="395">
        <f t="shared" si="329"/>
        <v>0.073885350318471335</v>
      </c>
      <c r="Y124" s="395">
        <f t="shared" si="329"/>
        <v>0.073650793650793647</v>
      </c>
      <c r="Z124" s="395">
        <f t="shared" si="329"/>
        <v>0.082539682539682538</v>
      </c>
      <c r="AA124" s="964">
        <f t="shared" si="329"/>
        <v>0.079821911273652416</v>
      </c>
      <c r="AB124" s="395">
        <f t="shared" si="329"/>
        <v>0.091022443890274321</v>
      </c>
      <c r="AC124" s="395">
        <f t="shared" si="329"/>
        <v>0.076397515527950308</v>
      </c>
      <c r="AD124" s="395">
        <f t="shared" si="329"/>
        <v>0.082301980198019806</v>
      </c>
      <c r="AE124" s="395">
        <f t="shared" si="329"/>
        <v>0.081835089894606319</v>
      </c>
      <c r="AF124" s="964">
        <f t="shared" si="329"/>
        <v>0.082880645661958713</v>
      </c>
      <c r="AG124" s="395">
        <f t="shared" si="329"/>
        <v>0.096951219512195125</v>
      </c>
      <c r="AH124" s="395">
        <f t="shared" si="329"/>
        <v>0.079829372333942716</v>
      </c>
      <c r="AI124" s="395">
        <f t="shared" si="329"/>
        <v>0.085276073619631895</v>
      </c>
      <c r="AJ124" s="395">
        <f t="shared" si="329"/>
        <v>0.087858450274557659</v>
      </c>
      <c r="AK124" s="964">
        <f t="shared" si="329"/>
        <v>0.087480916030534345</v>
      </c>
      <c r="AL124" s="395">
        <f t="shared" si="329"/>
        <v>0.094842916419679901</v>
      </c>
      <c r="AM124" s="395">
        <f t="shared" si="329"/>
        <v>0.080917874396135264</v>
      </c>
      <c r="AN124" s="395">
        <f t="shared" si="330" ref="AN124:AQ124">AN116/AN114</f>
        <v>0.087795765877957663</v>
      </c>
      <c r="AO124" s="395">
        <f t="shared" si="330"/>
        <v>0.083487940630797772</v>
      </c>
      <c r="AP124" s="964">
        <f t="shared" si="330"/>
        <v>0.086824067022086823</v>
      </c>
      <c r="AQ124" s="395">
        <f t="shared" si="330"/>
        <v>0.085380835380835379</v>
      </c>
      <c r="AR124" s="395">
        <f t="shared" si="331" ref="AR124:AW124">AR116/AR114</f>
        <v>0.06822372464658881</v>
      </c>
      <c r="AS124" s="395">
        <f t="shared" si="331"/>
        <v>0.076113861386138612</v>
      </c>
      <c r="AT124" s="395">
        <f t="shared" si="331"/>
        <v>0.088326127239036448</v>
      </c>
      <c r="AU124" s="964">
        <f t="shared" si="331"/>
        <v>0.079673293265526274</v>
      </c>
      <c r="AV124" s="395">
        <f t="shared" si="331"/>
        <v>0.069554606467358143</v>
      </c>
      <c r="AW124" s="395">
        <f t="shared" si="331"/>
        <v>0.069410319410319415</v>
      </c>
      <c r="AX124" s="395">
        <f t="shared" si="332" ref="AX124:BC124">AX116/AX114</f>
        <v>0.071339173967459327</v>
      </c>
      <c r="AY124" s="395">
        <f t="shared" si="332"/>
        <v>0.070943861813695247</v>
      </c>
      <c r="AZ124" s="964">
        <f t="shared" si="332"/>
        <v>0.070151094665433247</v>
      </c>
      <c r="BA124" s="395">
        <f t="shared" si="332"/>
        <v>0.071686746987951813</v>
      </c>
      <c r="BB124" s="395">
        <f t="shared" si="332"/>
        <v>0.072158749248346366</v>
      </c>
      <c r="BC124" s="395">
        <f t="shared" si="332"/>
        <v>0.073449729078868153</v>
      </c>
      <c r="BD124" s="395">
        <f>BD116/BD114</f>
        <v>0.078706528370957901</v>
      </c>
      <c r="BE124" s="964">
        <f>BE116/BE114</f>
        <v>0.073984599124263931</v>
      </c>
      <c r="BF124" s="395">
        <f>BF116/BF114</f>
        <v>0.077692760447321957</v>
      </c>
      <c r="BG124" s="395">
        <f>BG116/BG114</f>
        <v>0.078384798099762468</v>
      </c>
      <c r="BH124" s="737">
        <f>BH116/BH114</f>
        <v>0.078384798099762468</v>
      </c>
      <c r="BI124" s="894">
        <v>0.086999999999999994</v>
      </c>
      <c r="BJ124" s="964">
        <f>BJ116/BJ114</f>
        <v>0.080348093150414635</v>
      </c>
      <c r="BK124" s="894">
        <v>0.070000000000000007</v>
      </c>
      <c r="BL124" s="894">
        <v>0.06</v>
      </c>
      <c r="BM124" s="894">
        <v>0.086999999999999994</v>
      </c>
      <c r="BN124" s="894">
        <v>0.086999999999999994</v>
      </c>
      <c r="BO124" s="964">
        <f>BO116/BO114</f>
        <v>0.07602502876865766</v>
      </c>
      <c r="BP124" s="993">
        <v>0.086999999999999994</v>
      </c>
      <c r="BQ124" s="993">
        <v>0.086999999999999994</v>
      </c>
      <c r="BR124" s="993">
        <v>0.086999999999999994</v>
      </c>
      <c r="BS124" s="91"/>
    </row>
    <row r="125" spans="1:71" s="42" customFormat="1" ht="15" hidden="1" outlineLevel="1">
      <c r="A125" s="398" t="s">
        <v>334</v>
      </c>
      <c r="B125" s="393"/>
      <c r="C125" s="964">
        <f t="shared" si="333" ref="C125:AM125">C117/C114</f>
        <v>0.10256410256410256</v>
      </c>
      <c r="D125" s="964">
        <f t="shared" si="333"/>
        <v>0.10376991838321026</v>
      </c>
      <c r="E125" s="964">
        <f t="shared" si="333"/>
        <v>0.10222804718217562</v>
      </c>
      <c r="F125" s="964">
        <f t="shared" si="333"/>
        <v>0.10127931769722814</v>
      </c>
      <c r="G125" s="964">
        <f t="shared" si="333"/>
        <v>0.10067345881540321</v>
      </c>
      <c r="H125" s="395">
        <f t="shared" si="333"/>
        <v>0.099656357388316158</v>
      </c>
      <c r="I125" s="395">
        <f t="shared" si="333"/>
        <v>0.10047522063815342</v>
      </c>
      <c r="J125" s="395">
        <f t="shared" si="333"/>
        <v>0.10149863760217984</v>
      </c>
      <c r="K125" s="395">
        <f t="shared" si="333"/>
        <v>0.10116199589883801</v>
      </c>
      <c r="L125" s="964">
        <f t="shared" si="333"/>
        <v>0.10069977811913296</v>
      </c>
      <c r="M125" s="395">
        <f t="shared" si="333"/>
        <v>0.097480106100795758</v>
      </c>
      <c r="N125" s="395">
        <f t="shared" si="333"/>
        <v>0.097268487674883414</v>
      </c>
      <c r="O125" s="395">
        <f t="shared" si="333"/>
        <v>0.097368421052631576</v>
      </c>
      <c r="P125" s="395">
        <f t="shared" si="333"/>
        <v>0.095744680851063829</v>
      </c>
      <c r="Q125" s="964">
        <f t="shared" si="333"/>
        <v>0.096966683242168075</v>
      </c>
      <c r="R125" s="395">
        <f t="shared" si="333"/>
        <v>0.094559585492227982</v>
      </c>
      <c r="S125" s="395">
        <f t="shared" si="333"/>
        <v>0.095578673602080624</v>
      </c>
      <c r="T125" s="395">
        <f t="shared" si="333"/>
        <v>0.094033722438391698</v>
      </c>
      <c r="U125" s="395">
        <f t="shared" si="333"/>
        <v>0.092028515878159425</v>
      </c>
      <c r="V125" s="964">
        <f t="shared" si="333"/>
        <v>0.094048970325928322</v>
      </c>
      <c r="W125" s="395">
        <f t="shared" si="333"/>
        <v>0.092415551306564689</v>
      </c>
      <c r="X125" s="395">
        <f t="shared" si="333"/>
        <v>0.092993630573248401</v>
      </c>
      <c r="Y125" s="395">
        <f t="shared" si="333"/>
        <v>0.092698412698412697</v>
      </c>
      <c r="Z125" s="395">
        <f t="shared" si="333"/>
        <v>0.090793650793650788</v>
      </c>
      <c r="AA125" s="964">
        <f t="shared" si="333"/>
        <v>0.092224519001431068</v>
      </c>
      <c r="AB125" s="395">
        <f t="shared" si="333"/>
        <v>0.091645885286783038</v>
      </c>
      <c r="AC125" s="395">
        <f t="shared" si="333"/>
        <v>0.090062111801242239</v>
      </c>
      <c r="AD125" s="395">
        <f t="shared" si="333"/>
        <v>0.090346534653465344</v>
      </c>
      <c r="AE125" s="395">
        <f t="shared" si="333"/>
        <v>0.091134531928084309</v>
      </c>
      <c r="AF125" s="964">
        <f t="shared" si="333"/>
        <v>0.090796212944280613</v>
      </c>
      <c r="AG125" s="395">
        <f t="shared" si="333"/>
        <v>0.090853658536585363</v>
      </c>
      <c r="AH125" s="395">
        <f t="shared" si="333"/>
        <v>0.091407678244972576</v>
      </c>
      <c r="AI125" s="395">
        <f t="shared" si="333"/>
        <v>0.088957055214723926</v>
      </c>
      <c r="AJ125" s="395">
        <f t="shared" si="333"/>
        <v>0.089078706528370952</v>
      </c>
      <c r="AK125" s="964">
        <f t="shared" si="333"/>
        <v>0.090076335877862596</v>
      </c>
      <c r="AL125" s="395">
        <f t="shared" si="333"/>
        <v>0.089508002371072912</v>
      </c>
      <c r="AM125" s="395">
        <f t="shared" si="333"/>
        <v>0.089371980676328497</v>
      </c>
      <c r="AN125" s="395">
        <f t="shared" si="334" ref="AN125:AQ125">AN117/AN114</f>
        <v>0.08717310087173101</v>
      </c>
      <c r="AO125" s="395">
        <f t="shared" si="334"/>
        <v>0.084724799010513302</v>
      </c>
      <c r="AP125" s="964">
        <f t="shared" si="334"/>
        <v>0.087738004569687736</v>
      </c>
      <c r="AQ125" s="395">
        <f t="shared" si="334"/>
        <v>0.085380835380835379</v>
      </c>
      <c r="AR125" s="395">
        <f t="shared" si="335" ref="AR125:AW125">AR117/AR114</f>
        <v>0.083589428395820523</v>
      </c>
      <c r="AS125" s="395">
        <f t="shared" si="335"/>
        <v>0.084158415841584164</v>
      </c>
      <c r="AT125" s="395">
        <f t="shared" si="335"/>
        <v>0.085237801111797407</v>
      </c>
      <c r="AU125" s="964">
        <f t="shared" si="335"/>
        <v>0.084758822622900298</v>
      </c>
      <c r="AV125" s="395">
        <f t="shared" si="335"/>
        <v>0.08541793776693106</v>
      </c>
      <c r="AW125" s="395">
        <f t="shared" si="335"/>
        <v>0.084152334152334154</v>
      </c>
      <c r="AX125" s="395">
        <f t="shared" si="336" ref="AX125:BC125">AX117/AX114</f>
        <v>0.084480600750938675</v>
      </c>
      <c r="AY125" s="395">
        <f t="shared" si="336"/>
        <v>0.08760024676125848</v>
      </c>
      <c r="AZ125" s="964">
        <f t="shared" si="336"/>
        <v>0.085260561208757329</v>
      </c>
      <c r="BA125" s="395">
        <f t="shared" si="336"/>
        <v>0.085542168674698799</v>
      </c>
      <c r="BB125" s="395">
        <f t="shared" si="336"/>
        <v>0.084185207456404093</v>
      </c>
      <c r="BC125" s="395">
        <f t="shared" si="336"/>
        <v>0.083082480433473813</v>
      </c>
      <c r="BD125" s="395">
        <f>BD117/BD114</f>
        <v>0.086638194020744352</v>
      </c>
      <c r="BE125" s="964">
        <f>BE117/BE114</f>
        <v>0.084704816548391973</v>
      </c>
      <c r="BF125" s="395">
        <f>BF117/BF114</f>
        <v>0.082989994114184812</v>
      </c>
      <c r="BG125" s="395">
        <f>BG117/BG114</f>
        <v>0.083135391923990498</v>
      </c>
      <c r="BH125" s="737">
        <f>BH117/BH114</f>
        <v>0.083729216152019004</v>
      </c>
      <c r="BI125" s="894">
        <v>0.095</v>
      </c>
      <c r="BJ125" s="964">
        <f>BJ117/BJ114</f>
        <v>0.086191183159882334</v>
      </c>
      <c r="BK125" s="894">
        <v>0.095</v>
      </c>
      <c r="BL125" s="894">
        <v>0.070000000000000007</v>
      </c>
      <c r="BM125" s="894">
        <v>0.095</v>
      </c>
      <c r="BN125" s="894">
        <v>0.095</v>
      </c>
      <c r="BO125" s="964">
        <f>BO117/BO114</f>
        <v>0.088790478514553781</v>
      </c>
      <c r="BP125" s="993">
        <v>0.095000000000000015</v>
      </c>
      <c r="BQ125" s="993">
        <v>0.095000000000000015</v>
      </c>
      <c r="BR125" s="993">
        <v>0.095000000000000015</v>
      </c>
      <c r="BS125" s="91"/>
    </row>
    <row r="126" spans="1:71" s="42" customFormat="1" ht="15" hidden="1" outlineLevel="1">
      <c r="A126" s="399" t="s">
        <v>335</v>
      </c>
      <c r="B126" s="400"/>
      <c r="C126" s="966">
        <f t="shared" si="337" ref="C126:AM126">C118/C114</f>
        <v>0.13910761154855644</v>
      </c>
      <c r="D126" s="966">
        <f t="shared" si="337"/>
        <v>0.14418966187329965</v>
      </c>
      <c r="E126" s="966">
        <f t="shared" si="337"/>
        <v>0.14884853023778319</v>
      </c>
      <c r="F126" s="966">
        <f t="shared" si="337"/>
        <v>0.14694385216773276</v>
      </c>
      <c r="G126" s="966">
        <f t="shared" si="337"/>
        <v>0.14643412191331376</v>
      </c>
      <c r="H126" s="402">
        <f t="shared" si="337"/>
        <v>0.13127147766323025</v>
      </c>
      <c r="I126" s="402">
        <f t="shared" si="337"/>
        <v>0.14188730482009504</v>
      </c>
      <c r="J126" s="402">
        <f t="shared" si="337"/>
        <v>0.14713896457765668</v>
      </c>
      <c r="K126" s="402">
        <f t="shared" si="337"/>
        <v>0.18318523581681476</v>
      </c>
      <c r="L126" s="966">
        <f t="shared" si="337"/>
        <v>0.150878989588667</v>
      </c>
      <c r="M126" s="402">
        <f t="shared" si="337"/>
        <v>0.15782493368700265</v>
      </c>
      <c r="N126" s="402">
        <f t="shared" si="337"/>
        <v>0.15589606928714189</v>
      </c>
      <c r="O126" s="402">
        <f t="shared" si="337"/>
        <v>0.15592105263157896</v>
      </c>
      <c r="P126" s="402">
        <f t="shared" si="337"/>
        <v>0.18417553191489361</v>
      </c>
      <c r="Q126" s="966">
        <f t="shared" si="337"/>
        <v>0.16343444389192774</v>
      </c>
      <c r="R126" s="402">
        <f t="shared" si="337"/>
        <v>0.15220207253886012</v>
      </c>
      <c r="S126" s="402">
        <f t="shared" si="337"/>
        <v>0.15604681404421328</v>
      </c>
      <c r="T126" s="402">
        <f t="shared" si="337"/>
        <v>0.15758754863813229</v>
      </c>
      <c r="U126" s="402">
        <f t="shared" si="337"/>
        <v>0.19118600129617627</v>
      </c>
      <c r="V126" s="966">
        <f t="shared" si="337"/>
        <v>0.16426139127614722</v>
      </c>
      <c r="W126" s="402">
        <f t="shared" si="337"/>
        <v>0.16826003824091779</v>
      </c>
      <c r="X126" s="402">
        <f t="shared" si="337"/>
        <v>0.16751592356687897</v>
      </c>
      <c r="Y126" s="402">
        <f t="shared" si="337"/>
        <v>0.16888888888888889</v>
      </c>
      <c r="Z126" s="402">
        <f t="shared" si="337"/>
        <v>0.18031746031746032</v>
      </c>
      <c r="AA126" s="966">
        <f t="shared" si="337"/>
        <v>0.1712513913181746</v>
      </c>
      <c r="AB126" s="402">
        <f t="shared" si="337"/>
        <v>0.17269326683291772</v>
      </c>
      <c r="AC126" s="402">
        <f t="shared" si="337"/>
        <v>0.16024844720496895</v>
      </c>
      <c r="AD126" s="402">
        <f t="shared" si="337"/>
        <v>0.17388613861386137</v>
      </c>
      <c r="AE126" s="402">
        <f t="shared" si="337"/>
        <v>0.20830750154990701</v>
      </c>
      <c r="AF126" s="966">
        <f t="shared" si="337"/>
        <v>0.17879869625950645</v>
      </c>
      <c r="AG126" s="402">
        <f t="shared" si="337"/>
        <v>0.17560975609756097</v>
      </c>
      <c r="AH126" s="402">
        <f t="shared" si="337"/>
        <v>0.17672151127361366</v>
      </c>
      <c r="AI126" s="402">
        <f t="shared" si="337"/>
        <v>0.18466257668711655</v>
      </c>
      <c r="AJ126" s="402">
        <f t="shared" si="337"/>
        <v>0.22269676632092739</v>
      </c>
      <c r="AK126" s="966">
        <f t="shared" si="337"/>
        <v>0.1899236641221374</v>
      </c>
      <c r="AL126" s="402">
        <f t="shared" si="337"/>
        <v>0.19976289270895081</v>
      </c>
      <c r="AM126" s="402">
        <f t="shared" si="337"/>
        <v>0.18236714975845411</v>
      </c>
      <c r="AN126" s="402">
        <f t="shared" si="338" ref="AN126:AQ126">AN118/AN114</f>
        <v>0.19676214196762143</v>
      </c>
      <c r="AO126" s="402">
        <f t="shared" si="338"/>
        <v>0.2665429808286951</v>
      </c>
      <c r="AP126" s="966">
        <f t="shared" si="338"/>
        <v>0.21111957349581112</v>
      </c>
      <c r="AQ126" s="402">
        <f t="shared" si="338"/>
        <v>0.21314496314496315</v>
      </c>
      <c r="AR126" s="402">
        <f t="shared" si="339" ref="AR126:AW126">AR118/AR114</f>
        <v>0.2175783650891211</v>
      </c>
      <c r="AS126" s="402">
        <f t="shared" si="339"/>
        <v>0.22896039603960397</v>
      </c>
      <c r="AT126" s="402">
        <f t="shared" si="339"/>
        <v>0.26374305126621372</v>
      </c>
      <c r="AU126" s="966">
        <f t="shared" si="339"/>
        <v>0.23085221143473569</v>
      </c>
      <c r="AV126" s="402">
        <f t="shared" si="339"/>
        <v>0.2361195851128737</v>
      </c>
      <c r="AW126" s="402">
        <f t="shared" si="339"/>
        <v>0.23157248157248156</v>
      </c>
      <c r="AX126" s="402">
        <f t="shared" si="340" ref="AX126:BC126">AX118/AX114</f>
        <v>0.24342928660826033</v>
      </c>
      <c r="AY126" s="402">
        <f t="shared" si="340"/>
        <v>0.25354719309068474</v>
      </c>
      <c r="AZ126" s="966">
        <f t="shared" si="340"/>
        <v>0.24113475177304963</v>
      </c>
      <c r="BA126" s="402">
        <f t="shared" si="340"/>
        <v>0.23795180722891565</v>
      </c>
      <c r="BB126" s="402">
        <f t="shared" si="340"/>
        <v>0.23391461214672279</v>
      </c>
      <c r="BC126" s="402">
        <f t="shared" si="340"/>
        <v>0.24924744130042142</v>
      </c>
      <c r="BD126" s="402">
        <f>BD118/BD114</f>
        <v>0.26967663209273945</v>
      </c>
      <c r="BE126" s="966">
        <f>BE118/BE114</f>
        <v>0.24762192359957724</v>
      </c>
      <c r="BF126" s="402">
        <f>BF118/BF114</f>
        <v>0.22601530311948204</v>
      </c>
      <c r="BG126" s="402">
        <f>BG118/BG114</f>
        <v>0.20783847980997625</v>
      </c>
      <c r="BH126" s="747">
        <f>BH118/BH114</f>
        <v>0.21793349168646081</v>
      </c>
      <c r="BI126" s="896">
        <v>0.21</v>
      </c>
      <c r="BJ126" s="966">
        <f>BJ118/BJ114</f>
        <v>0.21547982154309014</v>
      </c>
      <c r="BK126" s="896">
        <v>0.20</v>
      </c>
      <c r="BL126" s="896">
        <v>0.20</v>
      </c>
      <c r="BM126" s="896">
        <v>0.20</v>
      </c>
      <c r="BN126" s="896">
        <v>0.20</v>
      </c>
      <c r="BO126" s="966">
        <f>BO118/BO114</f>
        <v>0.20</v>
      </c>
      <c r="BP126" s="994">
        <v>0.20</v>
      </c>
      <c r="BQ126" s="994">
        <v>0.20</v>
      </c>
      <c r="BR126" s="994">
        <v>0.20</v>
      </c>
      <c r="BS126" s="91"/>
    </row>
    <row r="127" spans="1:71" s="41" customFormat="1" ht="15" hidden="1" outlineLevel="1">
      <c r="A127" s="405" t="s">
        <v>336</v>
      </c>
      <c r="B127" s="406"/>
      <c r="C127" s="996">
        <f t="shared" si="341" ref="C127:AM127">C119/C114</f>
        <v>0.15667272360185747</v>
      </c>
      <c r="D127" s="996">
        <f t="shared" si="341"/>
        <v>0.17916828604741547</v>
      </c>
      <c r="E127" s="996">
        <f t="shared" si="341"/>
        <v>0.16925669350308931</v>
      </c>
      <c r="F127" s="996">
        <f t="shared" si="341"/>
        <v>0.17714996446339729</v>
      </c>
      <c r="G127" s="996">
        <f t="shared" si="341"/>
        <v>0.17924365394577793</v>
      </c>
      <c r="H127" s="371">
        <f t="shared" si="341"/>
        <v>0.20824742268041238</v>
      </c>
      <c r="I127" s="371">
        <f t="shared" si="341"/>
        <v>0.20366598778004075</v>
      </c>
      <c r="J127" s="371">
        <f t="shared" si="341"/>
        <v>0.18324250681198911</v>
      </c>
      <c r="K127" s="371">
        <f t="shared" si="341"/>
        <v>0.13738892686261106</v>
      </c>
      <c r="L127" s="996">
        <f t="shared" si="341"/>
        <v>0.18313705410479603</v>
      </c>
      <c r="M127" s="371">
        <f t="shared" si="341"/>
        <v>0.18899204244031831</v>
      </c>
      <c r="N127" s="371">
        <f t="shared" si="341"/>
        <v>0.19520319786808793</v>
      </c>
      <c r="O127" s="371">
        <f t="shared" si="341"/>
        <v>0.18815789473684211</v>
      </c>
      <c r="P127" s="371">
        <f t="shared" si="341"/>
        <v>0.15757978723404256</v>
      </c>
      <c r="Q127" s="996">
        <f t="shared" si="341"/>
        <v>0.18249627051218301</v>
      </c>
      <c r="R127" s="371">
        <f t="shared" si="341"/>
        <v>0.21502590673575128</v>
      </c>
      <c r="S127" s="371">
        <f t="shared" si="341"/>
        <v>0.18920676202860859</v>
      </c>
      <c r="T127" s="371">
        <f t="shared" si="341"/>
        <v>0.20946822308690013</v>
      </c>
      <c r="U127" s="371">
        <f t="shared" si="341"/>
        <v>0.16979909267660401</v>
      </c>
      <c r="V127" s="996">
        <f t="shared" si="341"/>
        <v>0.1958813037133128</v>
      </c>
      <c r="W127" s="371">
        <f t="shared" si="341"/>
        <v>0.1975780752071383</v>
      </c>
      <c r="X127" s="371">
        <f t="shared" si="341"/>
        <v>0.21019108280254778</v>
      </c>
      <c r="Y127" s="371">
        <f t="shared" si="341"/>
        <v>0.20063492063492064</v>
      </c>
      <c r="Z127" s="371">
        <f t="shared" si="341"/>
        <v>0.18349206349206348</v>
      </c>
      <c r="AA127" s="996">
        <f t="shared" si="341"/>
        <v>0.19796470027031324</v>
      </c>
      <c r="AB127" s="371">
        <f t="shared" si="341"/>
        <v>0.21009975062344138</v>
      </c>
      <c r="AC127" s="371">
        <f t="shared" si="341"/>
        <v>0.21118012422360249</v>
      </c>
      <c r="AD127" s="371">
        <f t="shared" si="341"/>
        <v>0.20668316831683167</v>
      </c>
      <c r="AE127" s="371">
        <f t="shared" si="341"/>
        <v>0.1698698078115313</v>
      </c>
      <c r="AF127" s="996">
        <f t="shared" si="341"/>
        <v>0.19944125407418906</v>
      </c>
      <c r="AG127" s="371">
        <f t="shared" si="341"/>
        <v>0.19695121951219513</v>
      </c>
      <c r="AH127" s="371">
        <f t="shared" si="341"/>
        <v>0.20597196831200487</v>
      </c>
      <c r="AI127" s="371">
        <f t="shared" si="341"/>
        <v>0.20552147239263804</v>
      </c>
      <c r="AJ127" s="371">
        <f t="shared" si="341"/>
        <v>0.16839536302623551</v>
      </c>
      <c r="AK127" s="996">
        <f t="shared" si="341"/>
        <v>0.19419847328244275</v>
      </c>
      <c r="AL127" s="371">
        <f t="shared" si="341"/>
        <v>0.19324244220509781</v>
      </c>
      <c r="AM127" s="371">
        <f t="shared" si="341"/>
        <v>0.25724637681159418</v>
      </c>
      <c r="AN127" s="371">
        <f t="shared" si="342" ref="AN127:AQ127">AN119/AN114</f>
        <v>0.20547945205479451</v>
      </c>
      <c r="AO127" s="371">
        <f t="shared" si="342"/>
        <v>0.11564625850340136</v>
      </c>
      <c r="AP127" s="996">
        <f t="shared" si="342"/>
        <v>0.19314546839299315</v>
      </c>
      <c r="AQ127" s="371">
        <f t="shared" si="342"/>
        <v>0.27457002457002455</v>
      </c>
      <c r="AR127" s="371">
        <f t="shared" si="343" ref="AR127:AW127">AR119/AR114</f>
        <v>0.25384142593730791</v>
      </c>
      <c r="AS127" s="371">
        <f t="shared" si="343"/>
        <v>0.22215346534653466</v>
      </c>
      <c r="AT127" s="371">
        <f t="shared" si="343"/>
        <v>0.1612106238418777</v>
      </c>
      <c r="AU127" s="996">
        <f t="shared" si="343"/>
        <v>0.22777007243026662</v>
      </c>
      <c r="AV127" s="371">
        <f t="shared" si="343"/>
        <v>0.20256253813300792</v>
      </c>
      <c r="AW127" s="371">
        <f t="shared" si="343"/>
        <v>0.2106879606879607</v>
      </c>
      <c r="AX127" s="371">
        <f t="shared" si="344" ref="AX127:BJ127">AX119/AX114</f>
        <v>0.21526908635794745</v>
      </c>
      <c r="AY127" s="371">
        <f t="shared" si="344"/>
        <v>0.20913016656384947</v>
      </c>
      <c r="AZ127" s="996">
        <f t="shared" si="344"/>
        <v>0.20952821461609622</v>
      </c>
      <c r="BA127" s="371">
        <f t="shared" si="345" ref="BA127:BI127">BA119/BA114</f>
        <v>0.21265060240963857</v>
      </c>
      <c r="BB127" s="371">
        <f t="shared" si="345"/>
        <v>0.22188815393866507</v>
      </c>
      <c r="BC127" s="371">
        <f t="shared" si="345"/>
        <v>0.28717639975918119</v>
      </c>
      <c r="BD127" s="371">
        <f t="shared" si="345"/>
        <v>0.18303843807199513</v>
      </c>
      <c r="BE127" s="996">
        <f>BE119/BE114</f>
        <v>0.226634455684735</v>
      </c>
      <c r="BF127" s="371">
        <f>BF119/BF114</f>
        <v>0.20953502060035314</v>
      </c>
      <c r="BG127" s="371">
        <f>BG119/BG114</f>
        <v>0.22684085510688837</v>
      </c>
      <c r="BH127" s="748">
        <f>BH119/BH114</f>
        <v>0.20783847980997625</v>
      </c>
      <c r="BI127" s="371">
        <f t="shared" si="345"/>
        <v>0.18800000000000006</v>
      </c>
      <c r="BJ127" s="996">
        <f t="shared" si="344"/>
        <v>0.20809178868726164</v>
      </c>
      <c r="BK127" s="371">
        <f t="shared" si="346" ref="BK127:BR127">BK119/BK114</f>
        <v>0.255</v>
      </c>
      <c r="BL127" s="371">
        <f t="shared" si="346"/>
        <v>0.29999999999999993</v>
      </c>
      <c r="BM127" s="371">
        <f t="shared" si="346"/>
        <v>0.23799999999999999</v>
      </c>
      <c r="BN127" s="371">
        <f t="shared" si="346"/>
        <v>0.23799999999999988</v>
      </c>
      <c r="BO127" s="996">
        <f t="shared" si="346"/>
        <v>0.25766830131096702</v>
      </c>
      <c r="BP127" s="996">
        <f t="shared" si="346"/>
        <v>0.24799999999999997</v>
      </c>
      <c r="BQ127" s="996">
        <f t="shared" si="346"/>
        <v>0.21799999999999997</v>
      </c>
      <c r="BR127" s="996">
        <f t="shared" si="346"/>
        <v>0.21799999999999994</v>
      </c>
      <c r="BS127" s="158"/>
    </row>
    <row r="128" spans="1:71" s="42" customFormat="1" ht="15" hidden="1" outlineLevel="1">
      <c r="A128" s="398"/>
      <c r="B128" s="393"/>
      <c r="C128" s="964"/>
      <c r="D128" s="964"/>
      <c r="E128" s="964"/>
      <c r="F128" s="964"/>
      <c r="G128" s="964"/>
      <c r="H128" s="395"/>
      <c r="I128" s="395"/>
      <c r="J128" s="395"/>
      <c r="K128" s="395"/>
      <c r="L128" s="964"/>
      <c r="M128" s="395"/>
      <c r="N128" s="395"/>
      <c r="O128" s="395"/>
      <c r="P128" s="395"/>
      <c r="Q128" s="964"/>
      <c r="R128" s="395"/>
      <c r="S128" s="395"/>
      <c r="T128" s="395"/>
      <c r="U128" s="395"/>
      <c r="V128" s="964"/>
      <c r="W128" s="395"/>
      <c r="X128" s="395"/>
      <c r="Y128" s="395"/>
      <c r="Z128" s="395"/>
      <c r="AA128" s="964"/>
      <c r="AB128" s="395"/>
      <c r="AC128" s="395"/>
      <c r="AD128" s="395"/>
      <c r="AE128" s="395"/>
      <c r="AF128" s="964"/>
      <c r="AG128" s="395"/>
      <c r="AH128" s="395"/>
      <c r="AI128" s="395"/>
      <c r="AJ128" s="395"/>
      <c r="AK128" s="964"/>
      <c r="AL128" s="395"/>
      <c r="AM128" s="395"/>
      <c r="AN128" s="395"/>
      <c r="AO128" s="395"/>
      <c r="AP128" s="964"/>
      <c r="AQ128" s="395"/>
      <c r="AR128" s="395"/>
      <c r="AS128" s="395"/>
      <c r="AT128" s="395"/>
      <c r="AU128" s="964"/>
      <c r="AV128" s="395"/>
      <c r="AW128" s="395"/>
      <c r="AX128" s="395"/>
      <c r="AY128" s="395"/>
      <c r="AZ128" s="964"/>
      <c r="BA128" s="395"/>
      <c r="BB128" s="395"/>
      <c r="BC128" s="395"/>
      <c r="BD128" s="395"/>
      <c r="BE128" s="964"/>
      <c r="BF128" s="395"/>
      <c r="BG128" s="395"/>
      <c r="BH128" s="737"/>
      <c r="BI128" s="395"/>
      <c r="BJ128" s="964"/>
      <c r="BK128" s="395"/>
      <c r="BL128" s="395"/>
      <c r="BM128" s="395"/>
      <c r="BN128" s="395"/>
      <c r="BO128" s="964"/>
      <c r="BP128" s="964"/>
      <c r="BQ128" s="964"/>
      <c r="BR128" s="964"/>
      <c r="BS128" s="91"/>
    </row>
    <row r="129" spans="1:71" s="43" customFormat="1" ht="15" hidden="1" outlineLevel="1">
      <c r="A129" s="812" t="s">
        <v>382</v>
      </c>
      <c r="B129" s="812"/>
      <c r="C129" s="828"/>
      <c r="D129" s="828"/>
      <c r="E129" s="828"/>
      <c r="F129" s="828"/>
      <c r="G129" s="828"/>
      <c r="H129" s="828"/>
      <c r="I129" s="828"/>
      <c r="J129" s="828"/>
      <c r="K129" s="828"/>
      <c r="L129" s="828"/>
      <c r="M129" s="828"/>
      <c r="N129" s="828"/>
      <c r="O129" s="828"/>
      <c r="P129" s="828"/>
      <c r="Q129" s="828"/>
      <c r="R129" s="828"/>
      <c r="S129" s="828"/>
      <c r="T129" s="828"/>
      <c r="U129" s="828"/>
      <c r="V129" s="828"/>
      <c r="W129" s="828"/>
      <c r="X129" s="828"/>
      <c r="Y129" s="828"/>
      <c r="Z129" s="828"/>
      <c r="AA129" s="828"/>
      <c r="AB129" s="828"/>
      <c r="AC129" s="828"/>
      <c r="AD129" s="828"/>
      <c r="AE129" s="828"/>
      <c r="AF129" s="828"/>
      <c r="AG129" s="828"/>
      <c r="AH129" s="828"/>
      <c r="AI129" s="828"/>
      <c r="AJ129" s="828"/>
      <c r="AK129" s="828"/>
      <c r="AL129" s="828"/>
      <c r="AM129" s="828"/>
      <c r="AN129" s="828"/>
      <c r="AO129" s="828"/>
      <c r="AP129" s="828"/>
      <c r="AQ129" s="828"/>
      <c r="AR129" s="828"/>
      <c r="AS129" s="828"/>
      <c r="AT129" s="828"/>
      <c r="AU129" s="828"/>
      <c r="AV129" s="828"/>
      <c r="AW129" s="828"/>
      <c r="AX129" s="828"/>
      <c r="AY129" s="828"/>
      <c r="AZ129" s="828"/>
      <c r="BA129" s="828"/>
      <c r="BB129" s="828"/>
      <c r="BC129" s="828"/>
      <c r="BD129" s="828"/>
      <c r="BE129" s="828"/>
      <c r="BF129" s="828"/>
      <c r="BG129" s="828"/>
      <c r="BH129" s="829"/>
      <c r="BI129" s="828"/>
      <c r="BJ129" s="828"/>
      <c r="BK129" s="828"/>
      <c r="BL129" s="828"/>
      <c r="BM129" s="828"/>
      <c r="BN129" s="828"/>
      <c r="BO129" s="828"/>
      <c r="BP129" s="828"/>
      <c r="BQ129" s="828"/>
      <c r="BR129" s="828"/>
      <c r="BS129" s="475"/>
    </row>
    <row r="130" spans="1:71" s="44" customFormat="1" ht="15" hidden="1" outlineLevel="1">
      <c r="A130" s="447" t="s">
        <v>383</v>
      </c>
      <c r="B130" s="397"/>
      <c r="C130" s="978"/>
      <c r="D130" s="978"/>
      <c r="E130" s="978"/>
      <c r="F130" s="978"/>
      <c r="G130" s="978"/>
      <c r="H130" s="185"/>
      <c r="I130" s="185"/>
      <c r="J130" s="185"/>
      <c r="K130" s="185"/>
      <c r="L130" s="978"/>
      <c r="M130" s="185"/>
      <c r="N130" s="185"/>
      <c r="O130" s="185"/>
      <c r="P130" s="185"/>
      <c r="Q130" s="978"/>
      <c r="R130" s="185"/>
      <c r="S130" s="185"/>
      <c r="T130" s="185"/>
      <c r="U130" s="185"/>
      <c r="V130" s="978"/>
      <c r="W130" s="185">
        <f>V132</f>
        <v>13795</v>
      </c>
      <c r="X130" s="185">
        <f>W132</f>
        <v>14174</v>
      </c>
      <c r="Y130" s="185">
        <f>X132</f>
        <v>14534</v>
      </c>
      <c r="Z130" s="185">
        <f>Y132</f>
        <v>14715</v>
      </c>
      <c r="AA130" s="978">
        <f>V132</f>
        <v>13795</v>
      </c>
      <c r="AB130" s="185">
        <f>AA132</f>
        <v>14463</v>
      </c>
      <c r="AC130" s="185">
        <f>AB132</f>
        <v>14022</v>
      </c>
      <c r="AD130" s="185">
        <f>AC132</f>
        <v>13950</v>
      </c>
      <c r="AE130" s="185">
        <f>AD132</f>
        <v>14119</v>
      </c>
      <c r="AF130" s="978">
        <f>AA132</f>
        <v>14463</v>
      </c>
      <c r="AG130" s="185">
        <f>AF132</f>
        <v>13877</v>
      </c>
      <c r="AH130" s="185">
        <f>AG132</f>
        <v>14782</v>
      </c>
      <c r="AI130" s="185">
        <f>AH132</f>
        <v>15753</v>
      </c>
      <c r="AJ130" s="185">
        <f>AI132</f>
        <v>16112</v>
      </c>
      <c r="AK130" s="978">
        <f>AF132</f>
        <v>13877</v>
      </c>
      <c r="AL130" s="185">
        <f>AK132</f>
        <v>15726</v>
      </c>
      <c r="AM130" s="185">
        <f>AL132</f>
        <v>15362</v>
      </c>
      <c r="AN130" s="185">
        <f>AM132</f>
        <v>16123</v>
      </c>
      <c r="AO130" s="185">
        <f>AN132</f>
        <v>16597</v>
      </c>
      <c r="AP130" s="978">
        <f>AK132</f>
        <v>15726</v>
      </c>
      <c r="AQ130" s="185">
        <f>AP132</f>
        <v>17166</v>
      </c>
      <c r="AR130" s="185">
        <f>AQ132</f>
        <v>16515</v>
      </c>
      <c r="AS130" s="185">
        <f>AR132</f>
        <v>17369</v>
      </c>
      <c r="AT130" s="185">
        <f>AS132</f>
        <v>17440</v>
      </c>
      <c r="AU130" s="978">
        <f>AP132</f>
        <v>17166</v>
      </c>
      <c r="AV130" s="185">
        <f>AU132</f>
        <v>17642</v>
      </c>
      <c r="AW130" s="185">
        <f>AV132</f>
        <v>16622</v>
      </c>
      <c r="AX130" s="185">
        <f>AW132</f>
        <v>15517</v>
      </c>
      <c r="AY130" s="185">
        <f>AX132</f>
        <v>14769</v>
      </c>
      <c r="AZ130" s="978">
        <f>AU132</f>
        <v>17642</v>
      </c>
      <c r="BA130" s="185">
        <f>AZ132</f>
        <v>15267</v>
      </c>
      <c r="BB130" s="185">
        <f>BA132</f>
        <v>15527</v>
      </c>
      <c r="BC130" s="185">
        <f>BB132</f>
        <v>15266</v>
      </c>
      <c r="BD130" s="185">
        <f>BC132</f>
        <v>14846</v>
      </c>
      <c r="BE130" s="978">
        <f>AZ132</f>
        <v>15267</v>
      </c>
      <c r="BF130" s="185">
        <f>BE132</f>
        <v>16067</v>
      </c>
      <c r="BG130" s="185">
        <f>BF132</f>
        <v>16064</v>
      </c>
      <c r="BH130" s="552">
        <f>BG132</f>
        <v>15984</v>
      </c>
      <c r="BI130" s="185">
        <f>BH132</f>
        <v>16571</v>
      </c>
      <c r="BJ130" s="978">
        <f>BE132</f>
        <v>16067</v>
      </c>
      <c r="BK130" s="185">
        <f>BJ132</f>
        <v>16870.350000000002</v>
      </c>
      <c r="BL130" s="185">
        <f>BK132</f>
        <v>16867.20</v>
      </c>
      <c r="BM130" s="185">
        <f>BL132</f>
        <v>16783.20</v>
      </c>
      <c r="BN130" s="185">
        <f>BM132</f>
        <v>17399.549999999999</v>
      </c>
      <c r="BO130" s="978">
        <f>BJ132</f>
        <v>16870.350000000002</v>
      </c>
      <c r="BP130" s="978">
        <f>BO132</f>
        <v>17713.867500000004</v>
      </c>
      <c r="BQ130" s="978">
        <f>BP132</f>
        <v>18599.560875000006</v>
      </c>
      <c r="BR130" s="978">
        <f>BQ132</f>
        <v>19529.538918750008</v>
      </c>
      <c r="BS130" s="100"/>
    </row>
    <row r="131" spans="1:71" s="224" customFormat="1" ht="15" hidden="1" outlineLevel="1">
      <c r="A131" s="364" t="s">
        <v>384</v>
      </c>
      <c r="B131" s="486"/>
      <c r="C131" s="973"/>
      <c r="D131" s="973"/>
      <c r="E131" s="973"/>
      <c r="F131" s="973"/>
      <c r="G131" s="973"/>
      <c r="H131" s="177"/>
      <c r="I131" s="177"/>
      <c r="J131" s="177"/>
      <c r="K131" s="177"/>
      <c r="L131" s="973"/>
      <c r="M131" s="177"/>
      <c r="N131" s="177"/>
      <c r="O131" s="177"/>
      <c r="P131" s="177"/>
      <c r="Q131" s="973"/>
      <c r="R131" s="177"/>
      <c r="S131" s="177"/>
      <c r="T131" s="177"/>
      <c r="U131" s="177"/>
      <c r="V131" s="973"/>
      <c r="W131" s="177">
        <f t="shared" si="347" ref="W131:AN131">W132-W130</f>
        <v>379</v>
      </c>
      <c r="X131" s="177">
        <f t="shared" si="347"/>
        <v>360</v>
      </c>
      <c r="Y131" s="177">
        <f t="shared" si="347"/>
        <v>181</v>
      </c>
      <c r="Z131" s="177">
        <f t="shared" si="347"/>
        <v>-252</v>
      </c>
      <c r="AA131" s="973">
        <f t="shared" si="347"/>
        <v>668</v>
      </c>
      <c r="AB131" s="177">
        <f t="shared" si="347"/>
        <v>-441</v>
      </c>
      <c r="AC131" s="177">
        <f t="shared" si="347"/>
        <v>-72</v>
      </c>
      <c r="AD131" s="177">
        <f t="shared" si="347"/>
        <v>169</v>
      </c>
      <c r="AE131" s="177">
        <f t="shared" si="347"/>
        <v>-242</v>
      </c>
      <c r="AF131" s="973">
        <f t="shared" si="347"/>
        <v>-586</v>
      </c>
      <c r="AG131" s="177">
        <f t="shared" si="347"/>
        <v>905</v>
      </c>
      <c r="AH131" s="177">
        <f t="shared" si="347"/>
        <v>971</v>
      </c>
      <c r="AI131" s="177">
        <f t="shared" si="347"/>
        <v>359</v>
      </c>
      <c r="AJ131" s="177">
        <f t="shared" si="347"/>
        <v>-386</v>
      </c>
      <c r="AK131" s="973">
        <f t="shared" si="347"/>
        <v>1849</v>
      </c>
      <c r="AL131" s="177">
        <f t="shared" si="347"/>
        <v>-364</v>
      </c>
      <c r="AM131" s="177">
        <f t="shared" si="347"/>
        <v>761</v>
      </c>
      <c r="AN131" s="177">
        <f t="shared" si="347"/>
        <v>474</v>
      </c>
      <c r="AO131" s="177">
        <f t="shared" si="348" ref="AO131:AQ131">AO132-AO130</f>
        <v>569</v>
      </c>
      <c r="AP131" s="973">
        <f t="shared" si="348"/>
        <v>1440</v>
      </c>
      <c r="AQ131" s="177">
        <f t="shared" si="348"/>
        <v>-651</v>
      </c>
      <c r="AR131" s="177">
        <f t="shared" si="349" ref="AR131:AW131">AR132-AR130</f>
        <v>854</v>
      </c>
      <c r="AS131" s="177">
        <f t="shared" si="349"/>
        <v>71</v>
      </c>
      <c r="AT131" s="177">
        <f t="shared" si="349"/>
        <v>202</v>
      </c>
      <c r="AU131" s="973">
        <f t="shared" si="349"/>
        <v>476</v>
      </c>
      <c r="AV131" s="177">
        <f t="shared" si="349"/>
        <v>-1020</v>
      </c>
      <c r="AW131" s="177">
        <f t="shared" si="349"/>
        <v>-1105</v>
      </c>
      <c r="AX131" s="177">
        <f t="shared" si="350" ref="AX131:BJ131">AX132-AX130</f>
        <v>-748</v>
      </c>
      <c r="AY131" s="177">
        <f t="shared" si="350"/>
        <v>498</v>
      </c>
      <c r="AZ131" s="973">
        <f t="shared" si="350"/>
        <v>-2375</v>
      </c>
      <c r="BA131" s="177">
        <f t="shared" si="351" ref="BA131:BI131">BA132-BA130</f>
        <v>260</v>
      </c>
      <c r="BB131" s="177">
        <f t="shared" si="351"/>
        <v>-261</v>
      </c>
      <c r="BC131" s="176">
        <f t="shared" si="351"/>
        <v>-420</v>
      </c>
      <c r="BD131" s="177">
        <f t="shared" si="351"/>
        <v>1221</v>
      </c>
      <c r="BE131" s="971">
        <f t="shared" si="351"/>
        <v>800</v>
      </c>
      <c r="BF131" s="177">
        <f>BF132-BF130</f>
        <v>-3</v>
      </c>
      <c r="BG131" s="177">
        <f>BG132-BG130</f>
        <v>-80</v>
      </c>
      <c r="BH131" s="551">
        <f>BH132-BH130</f>
        <v>587</v>
      </c>
      <c r="BI131" s="177">
        <f t="shared" si="351"/>
        <v>299.35000000000218</v>
      </c>
      <c r="BJ131" s="973">
        <f t="shared" si="350"/>
        <v>803.35000000000218</v>
      </c>
      <c r="BK131" s="177">
        <f t="shared" si="352" ref="BK131:BR131">BK132-BK130</f>
        <v>-3.1500000000014552</v>
      </c>
      <c r="BL131" s="177">
        <f t="shared" si="352"/>
        <v>-84</v>
      </c>
      <c r="BM131" s="177">
        <f t="shared" si="352"/>
        <v>616.34999999999854</v>
      </c>
      <c r="BN131" s="177">
        <f t="shared" si="352"/>
        <v>314.31750000000466</v>
      </c>
      <c r="BO131" s="973">
        <f t="shared" si="352"/>
        <v>843.51750000000175</v>
      </c>
      <c r="BP131" s="973">
        <f t="shared" si="352"/>
        <v>885.69337500000256</v>
      </c>
      <c r="BQ131" s="973">
        <f t="shared" si="352"/>
        <v>929.97804375000123</v>
      </c>
      <c r="BR131" s="973">
        <f t="shared" si="352"/>
        <v>976.47694593750202</v>
      </c>
      <c r="BS131" s="229"/>
    </row>
    <row r="132" spans="1:71" s="44" customFormat="1" ht="15" hidden="1" outlineLevel="1">
      <c r="A132" s="447" t="s">
        <v>385</v>
      </c>
      <c r="B132" s="397"/>
      <c r="C132" s="978"/>
      <c r="D132" s="978"/>
      <c r="E132" s="978"/>
      <c r="F132" s="978"/>
      <c r="G132" s="978"/>
      <c r="H132" s="185"/>
      <c r="I132" s="185"/>
      <c r="J132" s="185"/>
      <c r="K132" s="185"/>
      <c r="L132" s="978"/>
      <c r="M132" s="185"/>
      <c r="N132" s="185"/>
      <c r="O132" s="185"/>
      <c r="P132" s="185"/>
      <c r="Q132" s="978"/>
      <c r="R132" s="185"/>
      <c r="S132" s="185"/>
      <c r="T132" s="185"/>
      <c r="U132" s="185"/>
      <c r="V132" s="991">
        <v>13795</v>
      </c>
      <c r="W132" s="888">
        <v>14174</v>
      </c>
      <c r="X132" s="888">
        <v>14534</v>
      </c>
      <c r="Y132" s="888">
        <v>14715</v>
      </c>
      <c r="Z132" s="185">
        <f>AA132</f>
        <v>14463</v>
      </c>
      <c r="AA132" s="991">
        <v>14463</v>
      </c>
      <c r="AB132" s="888">
        <v>14022</v>
      </c>
      <c r="AC132" s="888">
        <v>13950</v>
      </c>
      <c r="AD132" s="888">
        <v>14119</v>
      </c>
      <c r="AE132" s="185">
        <f>AF132</f>
        <v>13877</v>
      </c>
      <c r="AF132" s="991">
        <v>13877</v>
      </c>
      <c r="AG132" s="888">
        <v>14782</v>
      </c>
      <c r="AH132" s="888">
        <v>15753</v>
      </c>
      <c r="AI132" s="888">
        <v>16112</v>
      </c>
      <c r="AJ132" s="185">
        <f>AK132</f>
        <v>15726</v>
      </c>
      <c r="AK132" s="991">
        <v>15726</v>
      </c>
      <c r="AL132" s="888">
        <v>15362</v>
      </c>
      <c r="AM132" s="888">
        <v>16123</v>
      </c>
      <c r="AN132" s="888">
        <v>16597</v>
      </c>
      <c r="AO132" s="185">
        <f>AP132</f>
        <v>17166</v>
      </c>
      <c r="AP132" s="991">
        <v>17166</v>
      </c>
      <c r="AQ132" s="888">
        <v>16515</v>
      </c>
      <c r="AR132" s="888">
        <v>17369</v>
      </c>
      <c r="AS132" s="888">
        <v>17440</v>
      </c>
      <c r="AT132" s="185">
        <f>AU132</f>
        <v>17642</v>
      </c>
      <c r="AU132" s="991">
        <v>17642</v>
      </c>
      <c r="AV132" s="888">
        <v>16622</v>
      </c>
      <c r="AW132" s="888">
        <v>15517</v>
      </c>
      <c r="AX132" s="888">
        <v>14769</v>
      </c>
      <c r="AY132" s="185">
        <f>AZ132</f>
        <v>15267</v>
      </c>
      <c r="AZ132" s="991">
        <v>15267</v>
      </c>
      <c r="BA132" s="888">
        <v>15527</v>
      </c>
      <c r="BB132" s="888">
        <v>15266</v>
      </c>
      <c r="BC132" s="893">
        <v>14846</v>
      </c>
      <c r="BD132" s="185">
        <f>BE132</f>
        <v>16067</v>
      </c>
      <c r="BE132" s="1000">
        <v>16067</v>
      </c>
      <c r="BF132" s="888">
        <v>16064</v>
      </c>
      <c r="BG132" s="888">
        <v>15984</v>
      </c>
      <c r="BH132" s="906">
        <v>16571</v>
      </c>
      <c r="BI132" s="185">
        <f>BD132*(1+BI134)</f>
        <v>16870.350000000002</v>
      </c>
      <c r="BJ132" s="978">
        <f>BI132</f>
        <v>16870.350000000002</v>
      </c>
      <c r="BK132" s="185">
        <f>BF132*(1+BK134)</f>
        <v>16867.20</v>
      </c>
      <c r="BL132" s="185">
        <f>BG132*(1+BL134)</f>
        <v>16783.20</v>
      </c>
      <c r="BM132" s="185">
        <f>BH132*(1+BM134)</f>
        <v>17399.549999999999</v>
      </c>
      <c r="BN132" s="185">
        <f>BI132*(1+BN134)</f>
        <v>17713.867500000004</v>
      </c>
      <c r="BO132" s="978">
        <f>BN132</f>
        <v>17713.867500000004</v>
      </c>
      <c r="BP132" s="978">
        <f>BO132*(1+BP134)</f>
        <v>18599.560875000006</v>
      </c>
      <c r="BQ132" s="978">
        <f>BP132*(1+BQ134)</f>
        <v>19529.538918750008</v>
      </c>
      <c r="BR132" s="978">
        <f>BQ132*(1+BR134)</f>
        <v>20506.01586468751</v>
      </c>
      <c r="BS132" s="100"/>
    </row>
    <row r="133" spans="1:71" s="44" customFormat="1" ht="15" hidden="1" outlineLevel="1">
      <c r="A133" s="375" t="s">
        <v>386</v>
      </c>
      <c r="B133" s="397"/>
      <c r="C133" s="978"/>
      <c r="D133" s="978"/>
      <c r="E133" s="978"/>
      <c r="F133" s="978"/>
      <c r="G133" s="978"/>
      <c r="H133" s="185"/>
      <c r="I133" s="185"/>
      <c r="J133" s="185"/>
      <c r="K133" s="185"/>
      <c r="L133" s="978"/>
      <c r="M133" s="185"/>
      <c r="N133" s="185"/>
      <c r="O133" s="185"/>
      <c r="P133" s="185"/>
      <c r="Q133" s="978"/>
      <c r="R133" s="185"/>
      <c r="S133" s="185"/>
      <c r="T133" s="185"/>
      <c r="U133" s="185"/>
      <c r="V133" s="978"/>
      <c r="W133" s="100">
        <f>AVERAGE(V132,W132)</f>
        <v>13984.50</v>
      </c>
      <c r="X133" s="100">
        <f>AVERAGE(W132,X132)</f>
        <v>14354</v>
      </c>
      <c r="Y133" s="100">
        <f>AVERAGE(X132,Y132)</f>
        <v>14624.50</v>
      </c>
      <c r="Z133" s="100">
        <f>AVERAGE(Y132,Z132)</f>
        <v>14589</v>
      </c>
      <c r="AA133" s="977">
        <f>SUM(W133*W$3,X133*X$3,Y133*Y$3,Z133*Z$3)/SUM(W$3,X$3,Y$3,Z$3)</f>
        <v>14390.30410958904</v>
      </c>
      <c r="AB133" s="100">
        <f>AVERAGE(AA132,AB132)</f>
        <v>14242.50</v>
      </c>
      <c r="AC133" s="100">
        <f>AVERAGE(AB132,AC132)</f>
        <v>13986</v>
      </c>
      <c r="AD133" s="100">
        <f>AVERAGE(AC132,AD132)</f>
        <v>14034.50</v>
      </c>
      <c r="AE133" s="100">
        <f>AVERAGE(AD132,AE132)</f>
        <v>13998</v>
      </c>
      <c r="AF133" s="977">
        <f>SUM(AB133*AB$3,AC133*AC$3,AD133*AD$3,AE133*AE$3)/SUM(AB$3,AC$3,AD$3,AE$3)</f>
        <v>14064.495890410959</v>
      </c>
      <c r="AG133" s="100">
        <f>AVERAGE(AF132,AG132)</f>
        <v>14329.50</v>
      </c>
      <c r="AH133" s="100">
        <f>AVERAGE(AG132,AH132)</f>
        <v>15267.50</v>
      </c>
      <c r="AI133" s="100">
        <f>AVERAGE(AH132,AI132)</f>
        <v>15932.50</v>
      </c>
      <c r="AJ133" s="100">
        <f>AVERAGE(AI132,AJ132)</f>
        <v>15919</v>
      </c>
      <c r="AK133" s="977">
        <f>SUM(AG133*AG$3,AH133*AH$3,AI133*AI$3,AJ133*AJ$3)/SUM(AG$3,AH$3,AI$3,AJ$3)</f>
        <v>15368.042465753424</v>
      </c>
      <c r="AL133" s="100">
        <f>AVERAGE(AK132,AL132)</f>
        <v>15544</v>
      </c>
      <c r="AM133" s="100">
        <f>AVERAGE(AL132,AM132)</f>
        <v>15742.50</v>
      </c>
      <c r="AN133" s="100">
        <f>AVERAGE(AM132,AN132)</f>
        <v>16360</v>
      </c>
      <c r="AO133" s="100">
        <f>AVERAGE(AN132,AO132)</f>
        <v>16881.50</v>
      </c>
      <c r="AP133" s="977">
        <f>SUM(AL133*AL$3,AM133*AM$3,AN133*AN$3,AO133*AO$3)/SUM(AL$3,AM$3,AN$3,AO$3)</f>
        <v>16134.670765027322</v>
      </c>
      <c r="AQ133" s="100">
        <f>AVERAGE(AP132,AQ132)</f>
        <v>16840.50</v>
      </c>
      <c r="AR133" s="100">
        <f>AVERAGE(AQ132,AR132)</f>
        <v>16942</v>
      </c>
      <c r="AS133" s="100">
        <f>AVERAGE(AR132,AS132)</f>
        <v>17404.50</v>
      </c>
      <c r="AT133" s="100">
        <f>AVERAGE(AS132,AT132)</f>
        <v>17541</v>
      </c>
      <c r="AU133" s="977">
        <f>SUM(AQ133*AQ$3,AR133*AR$3,AS133*AS$3,AT133*AT$3)/SUM(AQ$3,AR$3,AS$3,AT$3)</f>
        <v>17184.528767123287</v>
      </c>
      <c r="AV133" s="100">
        <f>AVERAGE(AU132,AV132)</f>
        <v>17132</v>
      </c>
      <c r="AW133" s="100">
        <f>AVERAGE(AV132,AW132)</f>
        <v>16069.50</v>
      </c>
      <c r="AX133" s="100">
        <f>AVERAGE(AW132,AX132)</f>
        <v>15143</v>
      </c>
      <c r="AY133" s="100">
        <f>AVERAGE(AX132,AY132)</f>
        <v>15018</v>
      </c>
      <c r="AZ133" s="977">
        <f>SUM(AV133*AV$3,AW133*AW$3,AX133*AX$3,AY133*AY$3)/SUM(AV$3,AW$3,AX$3,AY$3)</f>
        <v>15832.921917808218</v>
      </c>
      <c r="BA133" s="100">
        <f>AVERAGE(AZ132,BA132)</f>
        <v>15397</v>
      </c>
      <c r="BB133" s="100">
        <f>AVERAGE(BA132,BB132)</f>
        <v>15396.50</v>
      </c>
      <c r="BC133" s="100">
        <f>AVERAGE(BB132,BC132)</f>
        <v>15056</v>
      </c>
      <c r="BD133" s="100">
        <f>AVERAGE(BC132,BD132)</f>
        <v>15456.50</v>
      </c>
      <c r="BE133" s="977">
        <f>SUM(BA133*BA$3,BB133*BB$3,BC133*BC$3,BD133*BD$3)/SUM(BA$3,BB$3,BC$3,BD$3)</f>
        <v>15325.921917808218</v>
      </c>
      <c r="BF133" s="100">
        <f>AVERAGE(BE132,BF132)</f>
        <v>16065.50</v>
      </c>
      <c r="BG133" s="100">
        <f>AVERAGE(BF132,BG132)</f>
        <v>16024</v>
      </c>
      <c r="BH133" s="741">
        <f>AVERAGE(BG132,BH132)</f>
        <v>16277.50</v>
      </c>
      <c r="BI133" s="185">
        <f>AVERAGE(BH132,BI132)</f>
        <v>16720.675000000003</v>
      </c>
      <c r="BJ133" s="978">
        <f>SUM(BF133*BF$3,BG133*BG$3,BH133*BH$3,BI133*BI$3)/SUM(BF$3,BG$3,BH$3,BI$3)</f>
        <v>16273.16010928962</v>
      </c>
      <c r="BK133" s="185">
        <f>AVERAGE(BJ132,BK132)</f>
        <v>16868.775000000001</v>
      </c>
      <c r="BL133" s="185">
        <f>AVERAGE(BK132,BL132)</f>
        <v>16825.20</v>
      </c>
      <c r="BM133" s="185">
        <f>AVERAGE(BL132,BM132)</f>
        <v>17091.375</v>
      </c>
      <c r="BN133" s="185">
        <f>AVERAGE(BM132,BN132)</f>
        <v>17556.708750000002</v>
      </c>
      <c r="BO133" s="978">
        <f>SUM(BK133*BK$3,BL133*BL$3,BM133*BM$3,BN133*BN$3)/SUM(BK$3,BL$3,BM$3,BN$3)</f>
        <v>17087.415493150686</v>
      </c>
      <c r="BP133" s="978">
        <f>AVERAGE(BO132,BP132)</f>
        <v>18156.714187500005</v>
      </c>
      <c r="BQ133" s="978">
        <f>AVERAGE(BP132,BQ132)</f>
        <v>19064.549896875007</v>
      </c>
      <c r="BR133" s="978">
        <f>AVERAGE(BQ132,BR132)</f>
        <v>20017.777391718759</v>
      </c>
      <c r="BS133" s="100"/>
    </row>
    <row r="134" spans="1:71" s="46" customFormat="1" ht="15" hidden="1" outlineLevel="1">
      <c r="A134" s="411" t="s">
        <v>387</v>
      </c>
      <c r="B134" s="396"/>
      <c r="C134" s="979"/>
      <c r="D134" s="979"/>
      <c r="E134" s="979"/>
      <c r="F134" s="979"/>
      <c r="G134" s="979"/>
      <c r="H134" s="644"/>
      <c r="I134" s="644"/>
      <c r="J134" s="644"/>
      <c r="K134" s="644"/>
      <c r="L134" s="979"/>
      <c r="M134" s="644"/>
      <c r="N134" s="644"/>
      <c r="O134" s="644"/>
      <c r="P134" s="644"/>
      <c r="Q134" s="979"/>
      <c r="R134" s="644"/>
      <c r="S134" s="644"/>
      <c r="T134" s="644"/>
      <c r="U134" s="644"/>
      <c r="V134" s="979"/>
      <c r="W134" s="644"/>
      <c r="X134" s="644"/>
      <c r="Y134" s="644"/>
      <c r="Z134" s="644"/>
      <c r="AA134" s="980">
        <f t="shared" si="353" ref="AA134:AQ134">AA132/V132-1</f>
        <v>0.048423341790503782</v>
      </c>
      <c r="AB134" s="93">
        <f t="shared" si="353"/>
        <v>-0.01072386058981234</v>
      </c>
      <c r="AC134" s="93">
        <f t="shared" si="353"/>
        <v>-0.040181643043897042</v>
      </c>
      <c r="AD134" s="93">
        <f t="shared" si="353"/>
        <v>-0.04050288820931025</v>
      </c>
      <c r="AE134" s="93">
        <f t="shared" si="353"/>
        <v>-0.040517181774182398</v>
      </c>
      <c r="AF134" s="980">
        <f t="shared" si="353"/>
        <v>-0.040517181774182398</v>
      </c>
      <c r="AG134" s="93">
        <f t="shared" si="353"/>
        <v>0.054200542005420127</v>
      </c>
      <c r="AH134" s="93">
        <f t="shared" si="353"/>
        <v>0.1292473118279569</v>
      </c>
      <c r="AI134" s="93">
        <f t="shared" si="353"/>
        <v>0.14115730575819807</v>
      </c>
      <c r="AJ134" s="93">
        <f t="shared" si="353"/>
        <v>0.13324205519925059</v>
      </c>
      <c r="AK134" s="980">
        <f t="shared" si="353"/>
        <v>0.13324205519925059</v>
      </c>
      <c r="AL134" s="93">
        <f t="shared" si="353"/>
        <v>0.039236909755107519</v>
      </c>
      <c r="AM134" s="93">
        <f t="shared" si="353"/>
        <v>0.023487589665460495</v>
      </c>
      <c r="AN134" s="93">
        <f t="shared" si="353"/>
        <v>0.030101787487586851</v>
      </c>
      <c r="AO134" s="93">
        <f t="shared" si="353"/>
        <v>0.091568103777184273</v>
      </c>
      <c r="AP134" s="980">
        <f t="shared" si="353"/>
        <v>0.091568103777184273</v>
      </c>
      <c r="AQ134" s="93">
        <f t="shared" si="353"/>
        <v>0.075055331337065434</v>
      </c>
      <c r="AR134" s="93">
        <f t="shared" si="354" ref="AR134:AW134">AR132/AM132-1</f>
        <v>0.077280903057743489</v>
      </c>
      <c r="AS134" s="93">
        <f t="shared" si="354"/>
        <v>0.05079231186358979</v>
      </c>
      <c r="AT134" s="93">
        <f t="shared" si="354"/>
        <v>0.027729232203192344</v>
      </c>
      <c r="AU134" s="980">
        <f t="shared" si="354"/>
        <v>0.027729232203192344</v>
      </c>
      <c r="AV134" s="93">
        <f t="shared" si="354"/>
        <v>0.0064789585225553115</v>
      </c>
      <c r="AW134" s="93">
        <f t="shared" si="354"/>
        <v>-0.10662674880534284</v>
      </c>
      <c r="AX134" s="93">
        <f t="shared" si="355" ref="AX134:BC134">AX132/AS132-1</f>
        <v>-0.15315366972477062</v>
      </c>
      <c r="AY134" s="93">
        <f t="shared" si="355"/>
        <v>-0.13462192495181957</v>
      </c>
      <c r="AZ134" s="980">
        <f t="shared" si="355"/>
        <v>-0.13462192495181957</v>
      </c>
      <c r="BA134" s="93">
        <f t="shared" si="355"/>
        <v>-0.065876549151726582</v>
      </c>
      <c r="BB134" s="93">
        <f t="shared" si="355"/>
        <v>-0.016175807179222734</v>
      </c>
      <c r="BC134" s="93">
        <f t="shared" si="355"/>
        <v>0.005213623129528111</v>
      </c>
      <c r="BD134" s="93">
        <f>BD132/AY132-1</f>
        <v>0.052400602606929914</v>
      </c>
      <c r="BE134" s="980">
        <f>BE132/AZ132-1</f>
        <v>0.052400602606929914</v>
      </c>
      <c r="BF134" s="93">
        <f>BF132/BA132-1</f>
        <v>0.034584916596895665</v>
      </c>
      <c r="BG134" s="93">
        <f>BG132/BB132-1</f>
        <v>0.047032621511856387</v>
      </c>
      <c r="BH134" s="742">
        <f>BH132/BC132-1</f>
        <v>0.11619291391620634</v>
      </c>
      <c r="BI134" s="882">
        <v>0.05</v>
      </c>
      <c r="BJ134" s="979">
        <f>BJ132/BE132-1</f>
        <v>0.050000000000000044</v>
      </c>
      <c r="BK134" s="882">
        <v>0.05</v>
      </c>
      <c r="BL134" s="882">
        <v>0.05</v>
      </c>
      <c r="BM134" s="882">
        <v>0.05</v>
      </c>
      <c r="BN134" s="882">
        <v>0.05</v>
      </c>
      <c r="BO134" s="979">
        <f>BO132/BJ132-1</f>
        <v>0.050000000000000044</v>
      </c>
      <c r="BP134" s="981">
        <v>0.050000000000000044</v>
      </c>
      <c r="BQ134" s="981">
        <v>0.050000000000000044</v>
      </c>
      <c r="BR134" s="981">
        <v>0.050000000000000044</v>
      </c>
      <c r="BS134" s="93"/>
    </row>
    <row r="135" spans="1:71" s="42" customFormat="1" ht="15" hidden="1" outlineLevel="1">
      <c r="A135" s="412"/>
      <c r="B135" s="393"/>
      <c r="C135" s="964"/>
      <c r="D135" s="964"/>
      <c r="E135" s="964"/>
      <c r="F135" s="964"/>
      <c r="G135" s="964"/>
      <c r="H135" s="395"/>
      <c r="I135" s="395"/>
      <c r="J135" s="395"/>
      <c r="K135" s="395"/>
      <c r="L135" s="964"/>
      <c r="M135" s="395"/>
      <c r="N135" s="395"/>
      <c r="O135" s="395"/>
      <c r="P135" s="395"/>
      <c r="Q135" s="964"/>
      <c r="R135" s="395"/>
      <c r="S135" s="395"/>
      <c r="T135" s="395"/>
      <c r="U135" s="395"/>
      <c r="V135" s="964"/>
      <c r="W135" s="395"/>
      <c r="X135" s="395"/>
      <c r="Y135" s="395"/>
      <c r="Z135" s="395"/>
      <c r="AA135" s="964"/>
      <c r="AB135" s="395"/>
      <c r="AC135" s="395"/>
      <c r="AD135" s="395"/>
      <c r="AE135" s="395"/>
      <c r="AF135" s="964"/>
      <c r="AG135" s="395"/>
      <c r="AH135" s="395"/>
      <c r="AI135" s="395"/>
      <c r="AJ135" s="395"/>
      <c r="AK135" s="964"/>
      <c r="AL135" s="395"/>
      <c r="AM135" s="395"/>
      <c r="AN135" s="395"/>
      <c r="AO135" s="395"/>
      <c r="AP135" s="964"/>
      <c r="AQ135" s="395"/>
      <c r="AR135" s="395"/>
      <c r="AS135" s="395"/>
      <c r="AT135" s="395"/>
      <c r="AU135" s="964"/>
      <c r="AV135" s="395"/>
      <c r="AW135" s="395"/>
      <c r="AX135" s="395"/>
      <c r="AY135" s="395"/>
      <c r="AZ135" s="964"/>
      <c r="BA135" s="395"/>
      <c r="BB135" s="395"/>
      <c r="BC135" s="395"/>
      <c r="BD135" s="395"/>
      <c r="BE135" s="964"/>
      <c r="BF135" s="395"/>
      <c r="BG135" s="395"/>
      <c r="BH135" s="737"/>
      <c r="BI135" s="395"/>
      <c r="BJ135" s="964"/>
      <c r="BK135" s="395"/>
      <c r="BL135" s="395"/>
      <c r="BM135" s="395"/>
      <c r="BN135" s="395"/>
      <c r="BO135" s="964"/>
      <c r="BP135" s="964"/>
      <c r="BQ135" s="964"/>
      <c r="BR135" s="964"/>
      <c r="BS135" s="91"/>
    </row>
    <row r="136" spans="1:71" s="47" customFormat="1" ht="15" hidden="1" outlineLevel="1">
      <c r="A136" s="412" t="s">
        <v>388</v>
      </c>
      <c r="B136" s="493"/>
      <c r="C136" s="989"/>
      <c r="D136" s="989"/>
      <c r="E136" s="989"/>
      <c r="F136" s="989"/>
      <c r="G136" s="989"/>
      <c r="H136" s="59"/>
      <c r="I136" s="59"/>
      <c r="J136" s="59"/>
      <c r="K136" s="59"/>
      <c r="L136" s="989"/>
      <c r="M136" s="59"/>
      <c r="N136" s="59"/>
      <c r="O136" s="59"/>
      <c r="P136" s="59"/>
      <c r="Q136" s="989"/>
      <c r="R136" s="59"/>
      <c r="S136" s="59"/>
      <c r="T136" s="59"/>
      <c r="U136" s="59"/>
      <c r="V136" s="989"/>
      <c r="W136" s="97">
        <f>W112/W133*(AA$3/W$3)</f>
        <v>0.051620643490213371</v>
      </c>
      <c r="X136" s="97">
        <f>X112/X133*(AA$3/X$3)</f>
        <v>0.050298036921974501</v>
      </c>
      <c r="Y136" s="97">
        <f>Y112/Y133*(AA$3/Y$3)</f>
        <v>0.049102384771237073</v>
      </c>
      <c r="Z136" s="97">
        <f>Z112/Z133*(AA$3/Z$3)</f>
        <v>0.049493811597183107</v>
      </c>
      <c r="AA136" s="990">
        <f>AA112/AA133</f>
        <v>0.050103180204479389</v>
      </c>
      <c r="AB136" s="97">
        <f>AB112/AB133*(AF$3/AB$3)</f>
        <v>0.049831295223606964</v>
      </c>
      <c r="AC136" s="97">
        <f>AC112/AC133*(AF$3/AC$3)</f>
        <v>0.052195052195052195</v>
      </c>
      <c r="AD136" s="97">
        <f>AD112/AD133*(AF$3/AD$3)</f>
        <v>0.052862743518689199</v>
      </c>
      <c r="AE136" s="97">
        <f>AE112/AE133*(AF$3/AE$3)</f>
        <v>0.051866881604204329</v>
      </c>
      <c r="AF136" s="990">
        <f>AF112/AF133</f>
        <v>0.051690441354223141</v>
      </c>
      <c r="AG136" s="97">
        <f>AG112/AG133*(AK$3/AG$3)</f>
        <v>0.050094792793421494</v>
      </c>
      <c r="AH136" s="97">
        <f>AH112/AH133*(AK$3/AH$3)</f>
        <v>0.047288555557754831</v>
      </c>
      <c r="AI136" s="97">
        <f>AI112/AI133*(AK$3/AI$3)</f>
        <v>0.045569283458066982</v>
      </c>
      <c r="AJ136" s="97">
        <f>AJ112/AJ133*(AK$3/AJ$3)</f>
        <v>0.044860257226120276</v>
      </c>
      <c r="AK136" s="990">
        <f>AK112/AK133</f>
        <v>0.046850469186590818</v>
      </c>
      <c r="AL136" s="97">
        <f>AL112/AL133*(AP$3/AL$3)</f>
        <v>0.045798385865292709</v>
      </c>
      <c r="AM136" s="97">
        <f>AM112/AM133*(AP$3/AM$3)</f>
        <v>0.043943479103078914</v>
      </c>
      <c r="AN136" s="97">
        <f>AN112/AN133*(AP$3/AN$3)</f>
        <v>0.042554746465398106</v>
      </c>
      <c r="AO136" s="97">
        <f>AO112/AO133*(AP$3/AO$3)</f>
        <v>0.042889759693206735</v>
      </c>
      <c r="AP136" s="990">
        <f>AP112/AP133</f>
        <v>0.04369472487335295</v>
      </c>
      <c r="AQ136" s="97">
        <f>AQ112/AQ133*(AU$3/AQ$3)</f>
        <v>0.042384595337298644</v>
      </c>
      <c r="AR136" s="97">
        <f>AR112/AR133*(AU$3/AR$3)</f>
        <v>0.044745421029212792</v>
      </c>
      <c r="AS136" s="97">
        <f>AS112/AS133*(AU$3/AS$3)</f>
        <v>0.043538839905221914</v>
      </c>
      <c r="AT136" s="97">
        <f>AT112/AT133*(AU$3/AT$3)</f>
        <v>0.044557099763783234</v>
      </c>
      <c r="AU136" s="990">
        <f>AU112/AU133</f>
        <v>0.043876675946012605</v>
      </c>
      <c r="AV136" s="97">
        <f>AV112/AV133*(AZ$3/AV$3)</f>
        <v>0.043557215866344978</v>
      </c>
      <c r="AW136" s="97">
        <f>AW112/AW133*(AZ$3/AW$3)</f>
        <v>0.048173302163781018</v>
      </c>
      <c r="AX136" s="97">
        <f>AX112/AX133*(AZ$3/AX$3)</f>
        <v>0.048469087453235679</v>
      </c>
      <c r="AY136" s="97">
        <f>AY112/AY133*(AZ$3/AY$3)</f>
        <v>0.050721742604526741</v>
      </c>
      <c r="AZ136" s="990">
        <f>AZ112/AZ133</f>
        <v>0.047685449591638993</v>
      </c>
      <c r="BA136" s="97">
        <f>BA112/BA133*(BE$3/BA$3)</f>
        <v>0.051889617746602869</v>
      </c>
      <c r="BB136" s="97">
        <f>BB112/BB133*(BE$3/BB$3)</f>
        <v>0.052884146996445246</v>
      </c>
      <c r="BC136" s="97">
        <f>BC112/BC133*(BE$3/BC$3)</f>
        <v>0.055073378228526551</v>
      </c>
      <c r="BD136" s="97">
        <f>BD112/BD133*(BE$3/BD$3)</f>
        <v>0.054159710491857235</v>
      </c>
      <c r="BE136" s="990">
        <f>BE112/BE133</f>
        <v>0.053504122257545035</v>
      </c>
      <c r="BF136" s="97">
        <f>BF112/BF133*(BJ$3/BF$3)</f>
        <v>0.051571844793344278</v>
      </c>
      <c r="BG136" s="97">
        <f>BG112/BG133*(BJ$3/BG$3)</f>
        <v>0.054717374487718969</v>
      </c>
      <c r="BH136" s="745">
        <f>BH112/BH133*(BJ$3/BH$3)</f>
        <v>0.051324514366990974</v>
      </c>
      <c r="BI136" s="903">
        <v>0.05</v>
      </c>
      <c r="BJ136" s="989">
        <f>BJ112/BJ133</f>
        <v>0.051873794299326155</v>
      </c>
      <c r="BK136" s="903">
        <v>0.05</v>
      </c>
      <c r="BL136" s="903">
        <v>0.05</v>
      </c>
      <c r="BM136" s="903">
        <v>0.05</v>
      </c>
      <c r="BN136" s="903">
        <v>0.05</v>
      </c>
      <c r="BO136" s="989">
        <f>BO112/BO133</f>
        <v>0.05000000000000001</v>
      </c>
      <c r="BP136" s="1001">
        <v>0.04250000000000001</v>
      </c>
      <c r="BQ136" s="1001">
        <v>0.04250000000000001</v>
      </c>
      <c r="BR136" s="1001">
        <v>0.04250000000000001</v>
      </c>
      <c r="BS136" s="97"/>
    </row>
    <row r="137" spans="1:71" s="42" customFormat="1" ht="15" collapsed="1">
      <c r="A137" s="398"/>
      <c r="B137" s="393"/>
      <c r="C137" s="964"/>
      <c r="D137" s="964"/>
      <c r="E137" s="964"/>
      <c r="F137" s="964"/>
      <c r="G137" s="964"/>
      <c r="H137" s="395"/>
      <c r="I137" s="395"/>
      <c r="J137" s="395"/>
      <c r="K137" s="395"/>
      <c r="L137" s="964"/>
      <c r="M137" s="395"/>
      <c r="N137" s="395"/>
      <c r="O137" s="395"/>
      <c r="P137" s="395"/>
      <c r="Q137" s="964"/>
      <c r="R137" s="395"/>
      <c r="S137" s="395"/>
      <c r="T137" s="395"/>
      <c r="U137" s="395"/>
      <c r="V137" s="964"/>
      <c r="W137" s="395"/>
      <c r="X137" s="395"/>
      <c r="Y137" s="395"/>
      <c r="Z137" s="395"/>
      <c r="AA137" s="964"/>
      <c r="AB137" s="395"/>
      <c r="AC137" s="395"/>
      <c r="AD137" s="395"/>
      <c r="AE137" s="395"/>
      <c r="AF137" s="964"/>
      <c r="AG137" s="395"/>
      <c r="AH137" s="395"/>
      <c r="AI137" s="395"/>
      <c r="AJ137" s="395"/>
      <c r="AK137" s="964"/>
      <c r="AL137" s="395"/>
      <c r="AM137" s="395"/>
      <c r="AN137" s="395"/>
      <c r="AO137" s="395"/>
      <c r="AP137" s="964"/>
      <c r="AQ137" s="395"/>
      <c r="AR137" s="395"/>
      <c r="AS137" s="395"/>
      <c r="AT137" s="395"/>
      <c r="AU137" s="964"/>
      <c r="AV137" s="395"/>
      <c r="AW137" s="395"/>
      <c r="AX137" s="395"/>
      <c r="AY137" s="395"/>
      <c r="AZ137" s="964"/>
      <c r="BA137" s="395"/>
      <c r="BB137" s="395"/>
      <c r="BC137" s="395"/>
      <c r="BD137" s="395"/>
      <c r="BE137" s="964"/>
      <c r="BF137" s="395"/>
      <c r="BG137" s="395"/>
      <c r="BH137" s="737"/>
      <c r="BI137" s="395"/>
      <c r="BJ137" s="964"/>
      <c r="BK137" s="395"/>
      <c r="BL137" s="395"/>
      <c r="BM137" s="395"/>
      <c r="BN137" s="395"/>
      <c r="BO137" s="964"/>
      <c r="BP137" s="964"/>
      <c r="BQ137" s="964"/>
      <c r="BR137" s="964"/>
      <c r="BS137" s="91"/>
    </row>
    <row r="138" spans="1:71" s="43" customFormat="1" ht="15">
      <c r="A138" s="812" t="s">
        <v>418</v>
      </c>
      <c r="B138" s="812"/>
      <c r="C138" s="828"/>
      <c r="D138" s="828"/>
      <c r="E138" s="828"/>
      <c r="F138" s="828"/>
      <c r="G138" s="828"/>
      <c r="H138" s="828"/>
      <c r="I138" s="828"/>
      <c r="J138" s="828"/>
      <c r="K138" s="828"/>
      <c r="L138" s="828"/>
      <c r="M138" s="828"/>
      <c r="N138" s="828"/>
      <c r="O138" s="828"/>
      <c r="P138" s="828"/>
      <c r="Q138" s="828"/>
      <c r="R138" s="828"/>
      <c r="S138" s="828"/>
      <c r="T138" s="828"/>
      <c r="U138" s="828"/>
      <c r="V138" s="828"/>
      <c r="W138" s="828"/>
      <c r="X138" s="828"/>
      <c r="Y138" s="828"/>
      <c r="Z138" s="828"/>
      <c r="AA138" s="828"/>
      <c r="AB138" s="828"/>
      <c r="AC138" s="828"/>
      <c r="AD138" s="828"/>
      <c r="AE138" s="828"/>
      <c r="AF138" s="828"/>
      <c r="AG138" s="828"/>
      <c r="AH138" s="828"/>
      <c r="AI138" s="828"/>
      <c r="AJ138" s="828"/>
      <c r="AK138" s="828"/>
      <c r="AL138" s="828"/>
      <c r="AM138" s="828"/>
      <c r="AN138" s="828"/>
      <c r="AO138" s="828"/>
      <c r="AP138" s="828"/>
      <c r="AQ138" s="828"/>
      <c r="AR138" s="828"/>
      <c r="AS138" s="828"/>
      <c r="AT138" s="828"/>
      <c r="AU138" s="828"/>
      <c r="AV138" s="828"/>
      <c r="AW138" s="828"/>
      <c r="AX138" s="828"/>
      <c r="AY138" s="828"/>
      <c r="AZ138" s="828"/>
      <c r="BA138" s="828"/>
      <c r="BB138" s="828"/>
      <c r="BC138" s="828"/>
      <c r="BD138" s="828"/>
      <c r="BE138" s="828"/>
      <c r="BF138" s="828"/>
      <c r="BG138" s="828"/>
      <c r="BH138" s="829"/>
      <c r="BI138" s="828"/>
      <c r="BJ138" s="828"/>
      <c r="BK138" s="828"/>
      <c r="BL138" s="828"/>
      <c r="BM138" s="828"/>
      <c r="BN138" s="828"/>
      <c r="BO138" s="828"/>
      <c r="BP138" s="828"/>
      <c r="BQ138" s="828"/>
      <c r="BR138" s="828"/>
      <c r="BS138" s="475"/>
    </row>
    <row r="139" spans="1:71" s="224" customFormat="1" ht="15" hidden="1" outlineLevel="1">
      <c r="A139" s="362" t="s">
        <v>347</v>
      </c>
      <c r="B139" s="389"/>
      <c r="C139" s="971"/>
      <c r="D139" s="971"/>
      <c r="E139" s="971"/>
      <c r="F139" s="971"/>
      <c r="G139" s="971"/>
      <c r="H139" s="176"/>
      <c r="I139" s="176"/>
      <c r="J139" s="176"/>
      <c r="K139" s="176"/>
      <c r="L139" s="971"/>
      <c r="M139" s="176"/>
      <c r="N139" s="176"/>
      <c r="O139" s="176"/>
      <c r="P139" s="176"/>
      <c r="Q139" s="992">
        <v>178</v>
      </c>
      <c r="R139" s="176"/>
      <c r="S139" s="176"/>
      <c r="T139" s="176"/>
      <c r="U139" s="176"/>
      <c r="V139" s="992">
        <v>234</v>
      </c>
      <c r="W139" s="891">
        <v>54</v>
      </c>
      <c r="X139" s="891">
        <v>55</v>
      </c>
      <c r="Y139" s="891">
        <v>54</v>
      </c>
      <c r="Z139" s="176">
        <f>AA139-SUM(W139,X139,Y139)</f>
        <v>53</v>
      </c>
      <c r="AA139" s="992">
        <v>216</v>
      </c>
      <c r="AB139" s="891">
        <v>54</v>
      </c>
      <c r="AC139" s="891">
        <v>53</v>
      </c>
      <c r="AD139" s="891">
        <v>51</v>
      </c>
      <c r="AE139" s="176">
        <f>AF139-SUM(AB139,AC139,AD139)</f>
        <v>50</v>
      </c>
      <c r="AF139" s="992">
        <v>208</v>
      </c>
      <c r="AG139" s="891">
        <v>50</v>
      </c>
      <c r="AH139" s="891">
        <v>50</v>
      </c>
      <c r="AI139" s="891">
        <v>51</v>
      </c>
      <c r="AJ139" s="176">
        <f>AK139-SUM(AG139,AH139,AI139)</f>
        <v>49</v>
      </c>
      <c r="AK139" s="992">
        <v>200</v>
      </c>
      <c r="AL139" s="891">
        <v>49</v>
      </c>
      <c r="AM139" s="891">
        <v>49</v>
      </c>
      <c r="AN139" s="891">
        <v>49</v>
      </c>
      <c r="AO139" s="176">
        <f>AP139-SUM(AL139,AM139,AN139)</f>
        <v>47</v>
      </c>
      <c r="AP139" s="992">
        <v>194</v>
      </c>
      <c r="AQ139" s="891">
        <v>48</v>
      </c>
      <c r="AR139" s="891">
        <v>45</v>
      </c>
      <c r="AS139" s="891">
        <v>45</v>
      </c>
      <c r="AT139" s="176">
        <f>AU139-SUM(AQ139,AR139,AS139)</f>
        <v>42</v>
      </c>
      <c r="AU139" s="992">
        <v>180</v>
      </c>
      <c r="AV139" s="891">
        <v>41</v>
      </c>
      <c r="AW139" s="891">
        <v>36</v>
      </c>
      <c r="AX139" s="891">
        <v>35</v>
      </c>
      <c r="AY139" s="176">
        <f>AZ139-SUM(AV139,AW139,AX139)</f>
        <v>33</v>
      </c>
      <c r="AZ139" s="992">
        <v>145</v>
      </c>
      <c r="BA139" s="891">
        <v>91</v>
      </c>
      <c r="BB139" s="891">
        <v>84</v>
      </c>
      <c r="BC139" s="891">
        <v>83</v>
      </c>
      <c r="BD139" s="176">
        <f>BE139-SUM(BA139,BB139,BC139)</f>
        <v>142</v>
      </c>
      <c r="BE139" s="992">
        <v>400</v>
      </c>
      <c r="BF139" s="891">
        <v>165</v>
      </c>
      <c r="BG139" s="891">
        <v>155</v>
      </c>
      <c r="BH139" s="892">
        <v>160</v>
      </c>
      <c r="BI139" s="891">
        <v>50</v>
      </c>
      <c r="BJ139" s="971">
        <f>SUM(BF139,BG139,BH139,BI139)</f>
        <v>530</v>
      </c>
      <c r="BK139" s="891">
        <v>50</v>
      </c>
      <c r="BL139" s="891">
        <v>50</v>
      </c>
      <c r="BM139" s="891">
        <v>50</v>
      </c>
      <c r="BN139" s="891">
        <v>50</v>
      </c>
      <c r="BO139" s="971">
        <f>SUM(BK139,BL139,BM139,BN139)</f>
        <v>200</v>
      </c>
      <c r="BP139" s="992">
        <v>200</v>
      </c>
      <c r="BQ139" s="992">
        <v>200</v>
      </c>
      <c r="BR139" s="992">
        <v>200</v>
      </c>
      <c r="BS139" s="229"/>
    </row>
    <row r="140" spans="1:71" s="224" customFormat="1" ht="15" hidden="1" outlineLevel="1">
      <c r="A140" s="362" t="s">
        <v>348</v>
      </c>
      <c r="B140" s="389"/>
      <c r="C140" s="971"/>
      <c r="D140" s="971"/>
      <c r="E140" s="971"/>
      <c r="F140" s="971"/>
      <c r="G140" s="971"/>
      <c r="H140" s="176"/>
      <c r="I140" s="176"/>
      <c r="J140" s="176"/>
      <c r="K140" s="176"/>
      <c r="L140" s="971"/>
      <c r="M140" s="176"/>
      <c r="N140" s="176"/>
      <c r="O140" s="176"/>
      <c r="P140" s="176"/>
      <c r="Q140" s="992">
        <v>21</v>
      </c>
      <c r="R140" s="176"/>
      <c r="S140" s="176"/>
      <c r="T140" s="176"/>
      <c r="U140" s="176"/>
      <c r="V140" s="992">
        <v>20</v>
      </c>
      <c r="W140" s="891">
        <v>7</v>
      </c>
      <c r="X140" s="891">
        <v>8</v>
      </c>
      <c r="Y140" s="891">
        <v>10</v>
      </c>
      <c r="Z140" s="176">
        <f>AA140-SUM(W140,X140,Y140)</f>
        <v>10</v>
      </c>
      <c r="AA140" s="992">
        <v>35</v>
      </c>
      <c r="AB140" s="891">
        <v>21</v>
      </c>
      <c r="AC140" s="891">
        <v>27</v>
      </c>
      <c r="AD140" s="891">
        <v>27</v>
      </c>
      <c r="AE140" s="176">
        <f>AF140-SUM(AB140,AC140,AD140)</f>
        <v>38</v>
      </c>
      <c r="AF140" s="992">
        <v>113</v>
      </c>
      <c r="AG140" s="891">
        <v>42</v>
      </c>
      <c r="AH140" s="891">
        <v>40</v>
      </c>
      <c r="AI140" s="891">
        <v>44</v>
      </c>
      <c r="AJ140" s="176">
        <f>AK140-SUM(AG140,AH140,AI140)</f>
        <v>51</v>
      </c>
      <c r="AK140" s="992">
        <v>177</v>
      </c>
      <c r="AL140" s="891">
        <v>53</v>
      </c>
      <c r="AM140" s="891">
        <v>48</v>
      </c>
      <c r="AN140" s="891">
        <v>36</v>
      </c>
      <c r="AO140" s="176">
        <f>AP140-SUM(AL140,AM140,AN140)</f>
        <v>40</v>
      </c>
      <c r="AP140" s="992">
        <v>177</v>
      </c>
      <c r="AQ140" s="891">
        <v>33</v>
      </c>
      <c r="AR140" s="891">
        <v>3</v>
      </c>
      <c r="AS140" s="891">
        <v>24</v>
      </c>
      <c r="AT140" s="891">
        <v>-88</v>
      </c>
      <c r="AU140" s="992">
        <v>-16</v>
      </c>
      <c r="AV140" s="891">
        <v>15</v>
      </c>
      <c r="AW140" s="891">
        <v>5</v>
      </c>
      <c r="AX140" s="891">
        <v>35</v>
      </c>
      <c r="AY140" s="891">
        <v>44</v>
      </c>
      <c r="AZ140" s="992">
        <v>98</v>
      </c>
      <c r="BA140" s="891">
        <v>36</v>
      </c>
      <c r="BB140" s="891">
        <v>52</v>
      </c>
      <c r="BC140" s="891">
        <v>27</v>
      </c>
      <c r="BD140" s="891">
        <v>-72</v>
      </c>
      <c r="BE140" s="992">
        <v>44</v>
      </c>
      <c r="BF140" s="891">
        <v>79</v>
      </c>
      <c r="BG140" s="891">
        <v>91</v>
      </c>
      <c r="BH140" s="892">
        <v>64</v>
      </c>
      <c r="BI140" s="891">
        <v>33</v>
      </c>
      <c r="BJ140" s="971">
        <f>SUM(BF140,BG140,BH140,BI140)</f>
        <v>267</v>
      </c>
      <c r="BK140" s="891">
        <v>33</v>
      </c>
      <c r="BL140" s="891">
        <v>33</v>
      </c>
      <c r="BM140" s="891">
        <v>33</v>
      </c>
      <c r="BN140" s="891">
        <v>33</v>
      </c>
      <c r="BO140" s="971">
        <f>SUM(BK140,BL140,BM140,BN140)</f>
        <v>132</v>
      </c>
      <c r="BP140" s="992">
        <v>132</v>
      </c>
      <c r="BQ140" s="992">
        <v>132</v>
      </c>
      <c r="BR140" s="992">
        <v>132</v>
      </c>
      <c r="BS140" s="229"/>
    </row>
    <row r="141" spans="1:71" s="224" customFormat="1" ht="15" hidden="1" outlineLevel="1">
      <c r="A141" s="362" t="s">
        <v>349</v>
      </c>
      <c r="B141" s="389"/>
      <c r="C141" s="971"/>
      <c r="D141" s="971"/>
      <c r="E141" s="971"/>
      <c r="F141" s="971"/>
      <c r="G141" s="971"/>
      <c r="H141" s="176"/>
      <c r="I141" s="176"/>
      <c r="J141" s="176"/>
      <c r="K141" s="176"/>
      <c r="L141" s="971"/>
      <c r="M141" s="176"/>
      <c r="N141" s="176"/>
      <c r="O141" s="176"/>
      <c r="P141" s="176"/>
      <c r="Q141" s="992">
        <v>23</v>
      </c>
      <c r="R141" s="176"/>
      <c r="S141" s="176"/>
      <c r="T141" s="176"/>
      <c r="U141" s="176"/>
      <c r="V141" s="992">
        <v>23</v>
      </c>
      <c r="W141" s="891">
        <v>5</v>
      </c>
      <c r="X141" s="891">
        <v>7</v>
      </c>
      <c r="Y141" s="891">
        <v>5</v>
      </c>
      <c r="Z141" s="176">
        <f>AA141-SUM(W141,X141,Y141)</f>
        <v>4</v>
      </c>
      <c r="AA141" s="992">
        <v>21</v>
      </c>
      <c r="AB141" s="891">
        <v>4</v>
      </c>
      <c r="AC141" s="891">
        <v>5</v>
      </c>
      <c r="AD141" s="891">
        <v>4</v>
      </c>
      <c r="AE141" s="176">
        <f>AF141-SUM(AB141,AC141,AD141)</f>
        <v>5</v>
      </c>
      <c r="AF141" s="992">
        <v>18</v>
      </c>
      <c r="AG141" s="891">
        <v>3</v>
      </c>
      <c r="AH141" s="891">
        <v>5</v>
      </c>
      <c r="AI141" s="891">
        <v>2</v>
      </c>
      <c r="AJ141" s="176">
        <f>AK141-SUM(AG141,AH141,AI141)</f>
        <v>5</v>
      </c>
      <c r="AK141" s="992">
        <v>15</v>
      </c>
      <c r="AL141" s="891">
        <v>2</v>
      </c>
      <c r="AM141" s="891">
        <v>3</v>
      </c>
      <c r="AN141" s="891">
        <v>2</v>
      </c>
      <c r="AO141" s="176">
        <f>AP141-SUM(AL141,AM141,AN141)</f>
        <v>6</v>
      </c>
      <c r="AP141" s="992">
        <v>13</v>
      </c>
      <c r="AQ141" s="891">
        <v>2</v>
      </c>
      <c r="AR141" s="891">
        <v>2</v>
      </c>
      <c r="AS141" s="891">
        <v>3</v>
      </c>
      <c r="AT141" s="891">
        <v>11</v>
      </c>
      <c r="AU141" s="992">
        <v>11</v>
      </c>
      <c r="AV141" s="891">
        <v>18</v>
      </c>
      <c r="AW141" s="891">
        <v>0</v>
      </c>
      <c r="AX141" s="891">
        <v>3</v>
      </c>
      <c r="AY141" s="891">
        <v>2</v>
      </c>
      <c r="AZ141" s="992">
        <v>24</v>
      </c>
      <c r="BA141" s="891">
        <v>2</v>
      </c>
      <c r="BB141" s="891">
        <v>3</v>
      </c>
      <c r="BC141" s="891">
        <v>4</v>
      </c>
      <c r="BD141" s="176">
        <f>BE141-SUM(BA141,BB141,BC141)</f>
        <v>6</v>
      </c>
      <c r="BE141" s="992">
        <v>15</v>
      </c>
      <c r="BF141" s="891">
        <v>3</v>
      </c>
      <c r="BG141" s="891">
        <v>5</v>
      </c>
      <c r="BH141" s="892">
        <v>1</v>
      </c>
      <c r="BI141" s="891">
        <v>3</v>
      </c>
      <c r="BJ141" s="971">
        <f>SUM(BF141,BG141,BH141,BI141)</f>
        <v>12</v>
      </c>
      <c r="BK141" s="891">
        <v>3</v>
      </c>
      <c r="BL141" s="891">
        <v>3</v>
      </c>
      <c r="BM141" s="891">
        <v>3</v>
      </c>
      <c r="BN141" s="891">
        <v>3</v>
      </c>
      <c r="BO141" s="971">
        <f>SUM(BK141,BL141,BM141,BN141)</f>
        <v>12</v>
      </c>
      <c r="BP141" s="992">
        <v>12</v>
      </c>
      <c r="BQ141" s="992">
        <v>12</v>
      </c>
      <c r="BR141" s="992">
        <v>12</v>
      </c>
      <c r="BS141" s="229"/>
    </row>
    <row r="142" spans="1:71" s="44" customFormat="1" ht="15" hidden="1" outlineLevel="1">
      <c r="A142" s="366" t="s">
        <v>350</v>
      </c>
      <c r="B142" s="386"/>
      <c r="C142" s="982">
        <f t="shared" si="356" ref="C142:AN142">SUM(C139:C141)</f>
        <v>0</v>
      </c>
      <c r="D142" s="982">
        <f t="shared" si="356"/>
        <v>0</v>
      </c>
      <c r="E142" s="982">
        <f t="shared" si="356"/>
        <v>0</v>
      </c>
      <c r="F142" s="982">
        <f t="shared" si="356"/>
        <v>0</v>
      </c>
      <c r="G142" s="982">
        <f t="shared" si="356"/>
        <v>0</v>
      </c>
      <c r="H142" s="25">
        <f t="shared" si="356"/>
        <v>0</v>
      </c>
      <c r="I142" s="25">
        <f t="shared" si="356"/>
        <v>0</v>
      </c>
      <c r="J142" s="25">
        <f t="shared" si="356"/>
        <v>0</v>
      </c>
      <c r="K142" s="25">
        <f t="shared" si="356"/>
        <v>0</v>
      </c>
      <c r="L142" s="982">
        <f t="shared" si="356"/>
        <v>0</v>
      </c>
      <c r="M142" s="25">
        <f t="shared" si="356"/>
        <v>0</v>
      </c>
      <c r="N142" s="25">
        <f t="shared" si="356"/>
        <v>0</v>
      </c>
      <c r="O142" s="25">
        <f t="shared" si="356"/>
        <v>0</v>
      </c>
      <c r="P142" s="25">
        <f t="shared" si="356"/>
        <v>0</v>
      </c>
      <c r="Q142" s="982">
        <f t="shared" si="356"/>
        <v>222</v>
      </c>
      <c r="R142" s="25">
        <f t="shared" si="356"/>
        <v>0</v>
      </c>
      <c r="S142" s="25">
        <f t="shared" si="356"/>
        <v>0</v>
      </c>
      <c r="T142" s="25">
        <f t="shared" si="356"/>
        <v>0</v>
      </c>
      <c r="U142" s="25">
        <f t="shared" si="356"/>
        <v>0</v>
      </c>
      <c r="V142" s="982">
        <f t="shared" si="356"/>
        <v>277</v>
      </c>
      <c r="W142" s="25">
        <f t="shared" si="356"/>
        <v>66</v>
      </c>
      <c r="X142" s="25">
        <f t="shared" si="356"/>
        <v>70</v>
      </c>
      <c r="Y142" s="25">
        <f t="shared" si="356"/>
        <v>69</v>
      </c>
      <c r="Z142" s="25">
        <f t="shared" si="356"/>
        <v>67</v>
      </c>
      <c r="AA142" s="982">
        <f t="shared" si="356"/>
        <v>272</v>
      </c>
      <c r="AB142" s="25">
        <f t="shared" si="356"/>
        <v>79</v>
      </c>
      <c r="AC142" s="25">
        <f t="shared" si="356"/>
        <v>85</v>
      </c>
      <c r="AD142" s="25">
        <f t="shared" si="356"/>
        <v>82</v>
      </c>
      <c r="AE142" s="25">
        <f t="shared" si="356"/>
        <v>93</v>
      </c>
      <c r="AF142" s="982">
        <f t="shared" si="356"/>
        <v>339</v>
      </c>
      <c r="AG142" s="25">
        <f t="shared" si="356"/>
        <v>95</v>
      </c>
      <c r="AH142" s="25">
        <f t="shared" si="356"/>
        <v>95</v>
      </c>
      <c r="AI142" s="25">
        <f t="shared" si="356"/>
        <v>97</v>
      </c>
      <c r="AJ142" s="25">
        <f t="shared" si="356"/>
        <v>105</v>
      </c>
      <c r="AK142" s="982">
        <f t="shared" si="356"/>
        <v>392</v>
      </c>
      <c r="AL142" s="111">
        <f t="shared" si="356"/>
        <v>104</v>
      </c>
      <c r="AM142" s="25">
        <f t="shared" si="356"/>
        <v>100</v>
      </c>
      <c r="AN142" s="25">
        <f t="shared" si="356"/>
        <v>87</v>
      </c>
      <c r="AO142" s="25">
        <f t="shared" si="357" ref="AO142:AQ142">SUM(AO139:AO141)</f>
        <v>93</v>
      </c>
      <c r="AP142" s="982">
        <f t="shared" si="357"/>
        <v>384</v>
      </c>
      <c r="AQ142" s="111">
        <f t="shared" si="357"/>
        <v>83</v>
      </c>
      <c r="AR142" s="25">
        <f t="shared" si="358" ref="AR142:AW142">SUM(AR139:AR141)</f>
        <v>50</v>
      </c>
      <c r="AS142" s="25">
        <f t="shared" si="358"/>
        <v>72</v>
      </c>
      <c r="AT142" s="25">
        <f t="shared" si="358"/>
        <v>-35</v>
      </c>
      <c r="AU142" s="982">
        <f t="shared" si="358"/>
        <v>175</v>
      </c>
      <c r="AV142" s="111">
        <f t="shared" si="358"/>
        <v>74</v>
      </c>
      <c r="AW142" s="25">
        <f t="shared" si="358"/>
        <v>41</v>
      </c>
      <c r="AX142" s="25">
        <f t="shared" si="359" ref="AX142:BJ142">SUM(AX139:AX141)</f>
        <v>73</v>
      </c>
      <c r="AY142" s="25">
        <f t="shared" si="359"/>
        <v>79</v>
      </c>
      <c r="AZ142" s="982">
        <f t="shared" si="359"/>
        <v>267</v>
      </c>
      <c r="BA142" s="111">
        <f t="shared" si="360" ref="BA142:BI142">SUM(BA139:BA141)</f>
        <v>129</v>
      </c>
      <c r="BB142" s="25">
        <f t="shared" si="360"/>
        <v>139</v>
      </c>
      <c r="BC142" s="25">
        <f t="shared" si="360"/>
        <v>114</v>
      </c>
      <c r="BD142" s="25">
        <f t="shared" si="360"/>
        <v>76</v>
      </c>
      <c r="BE142" s="982">
        <f t="shared" si="360"/>
        <v>459</v>
      </c>
      <c r="BF142" s="111">
        <f>SUM(BF139:BF141)</f>
        <v>247</v>
      </c>
      <c r="BG142" s="25">
        <f>SUM(BG139:BG141)</f>
        <v>251</v>
      </c>
      <c r="BH142" s="749">
        <f>SUM(BH139:BH141)</f>
        <v>225</v>
      </c>
      <c r="BI142" s="25">
        <f t="shared" si="360"/>
        <v>86</v>
      </c>
      <c r="BJ142" s="982">
        <f t="shared" si="359"/>
        <v>809</v>
      </c>
      <c r="BK142" s="25">
        <f t="shared" si="361" ref="BK142:BR142">SUM(BK139:BK141)</f>
        <v>86</v>
      </c>
      <c r="BL142" s="25">
        <f t="shared" si="361"/>
        <v>86</v>
      </c>
      <c r="BM142" s="25">
        <f t="shared" si="361"/>
        <v>86</v>
      </c>
      <c r="BN142" s="25">
        <f t="shared" si="361"/>
        <v>86</v>
      </c>
      <c r="BO142" s="982">
        <f t="shared" si="361"/>
        <v>344</v>
      </c>
      <c r="BP142" s="982">
        <f t="shared" si="361"/>
        <v>344</v>
      </c>
      <c r="BQ142" s="982">
        <f t="shared" si="361"/>
        <v>344</v>
      </c>
      <c r="BR142" s="982">
        <f t="shared" si="361"/>
        <v>344</v>
      </c>
      <c r="BS142" s="100"/>
    </row>
    <row r="143" spans="1:71" s="224" customFormat="1" ht="15" hidden="1" outlineLevel="1">
      <c r="A143" s="362" t="s">
        <v>351</v>
      </c>
      <c r="B143" s="389"/>
      <c r="C143" s="971"/>
      <c r="D143" s="971"/>
      <c r="E143" s="971"/>
      <c r="F143" s="971"/>
      <c r="G143" s="971"/>
      <c r="H143" s="176"/>
      <c r="I143" s="176"/>
      <c r="J143" s="176"/>
      <c r="K143" s="176"/>
      <c r="L143" s="971"/>
      <c r="M143" s="176"/>
      <c r="N143" s="176"/>
      <c r="O143" s="176"/>
      <c r="P143" s="176"/>
      <c r="Q143" s="992">
        <v>168</v>
      </c>
      <c r="R143" s="176"/>
      <c r="S143" s="176"/>
      <c r="T143" s="176"/>
      <c r="U143" s="176"/>
      <c r="V143" s="992">
        <v>223</v>
      </c>
      <c r="W143" s="891">
        <v>55</v>
      </c>
      <c r="X143" s="891">
        <v>52</v>
      </c>
      <c r="Y143" s="891">
        <v>52</v>
      </c>
      <c r="Z143" s="176">
        <f>AA143-SUM(W143,X143,Y143)</f>
        <v>50</v>
      </c>
      <c r="AA143" s="992">
        <v>209</v>
      </c>
      <c r="AB143" s="891">
        <v>52</v>
      </c>
      <c r="AC143" s="891">
        <v>50</v>
      </c>
      <c r="AD143" s="891">
        <v>47</v>
      </c>
      <c r="AE143" s="176">
        <f>AF143-SUM(AB143,AC143,AD143)</f>
        <v>50</v>
      </c>
      <c r="AF143" s="992">
        <v>199</v>
      </c>
      <c r="AG143" s="891">
        <v>47</v>
      </c>
      <c r="AH143" s="891">
        <v>48</v>
      </c>
      <c r="AI143" s="891">
        <v>49</v>
      </c>
      <c r="AJ143" s="176">
        <f>AK143-SUM(AG143,AH143,AI143)</f>
        <v>50</v>
      </c>
      <c r="AK143" s="992">
        <v>194</v>
      </c>
      <c r="AL143" s="891">
        <v>40</v>
      </c>
      <c r="AM143" s="891">
        <v>47</v>
      </c>
      <c r="AN143" s="891">
        <v>47</v>
      </c>
      <c r="AO143" s="176">
        <f>AP143-SUM(AL143,AM143,AN143)</f>
        <v>46</v>
      </c>
      <c r="AP143" s="992">
        <v>180</v>
      </c>
      <c r="AQ143" s="891">
        <v>43</v>
      </c>
      <c r="AR143" s="891">
        <v>41</v>
      </c>
      <c r="AS143" s="891">
        <v>42</v>
      </c>
      <c r="AT143" s="176">
        <f>AU143-SUM(AQ143,AR143,AS143)</f>
        <v>40</v>
      </c>
      <c r="AU143" s="992">
        <v>166</v>
      </c>
      <c r="AV143" s="891">
        <v>37</v>
      </c>
      <c r="AW143" s="891">
        <v>33</v>
      </c>
      <c r="AX143" s="891">
        <v>40</v>
      </c>
      <c r="AY143" s="891">
        <v>31</v>
      </c>
      <c r="AZ143" s="992">
        <v>141</v>
      </c>
      <c r="BA143" s="891">
        <v>46</v>
      </c>
      <c r="BB143" s="891">
        <v>95</v>
      </c>
      <c r="BC143" s="891">
        <v>65</v>
      </c>
      <c r="BD143" s="891">
        <v>261</v>
      </c>
      <c r="BE143" s="992">
        <v>467</v>
      </c>
      <c r="BF143" s="891">
        <v>107</v>
      </c>
      <c r="BG143" s="891">
        <v>94</v>
      </c>
      <c r="BH143" s="892">
        <v>74</v>
      </c>
      <c r="BI143" s="891">
        <v>45</v>
      </c>
      <c r="BJ143" s="971">
        <f>SUM(BF143,BG143,BH143,BI143)</f>
        <v>320</v>
      </c>
      <c r="BK143" s="891">
        <v>45</v>
      </c>
      <c r="BL143" s="891">
        <v>45</v>
      </c>
      <c r="BM143" s="891">
        <v>45</v>
      </c>
      <c r="BN143" s="891">
        <v>45</v>
      </c>
      <c r="BO143" s="971">
        <f>SUM(BK143,BL143,BM143,BN143)</f>
        <v>180</v>
      </c>
      <c r="BP143" s="992">
        <v>185</v>
      </c>
      <c r="BQ143" s="992">
        <v>185</v>
      </c>
      <c r="BR143" s="992">
        <v>185</v>
      </c>
      <c r="BS143" s="229"/>
    </row>
    <row r="144" spans="1:71" s="224" customFormat="1" ht="15" hidden="1" outlineLevel="1">
      <c r="A144" s="362" t="s">
        <v>373</v>
      </c>
      <c r="B144" s="389"/>
      <c r="C144" s="971"/>
      <c r="D144" s="971"/>
      <c r="E144" s="971"/>
      <c r="F144" s="971"/>
      <c r="G144" s="971"/>
      <c r="H144" s="176"/>
      <c r="I144" s="176"/>
      <c r="J144" s="176"/>
      <c r="K144" s="176"/>
      <c r="L144" s="971"/>
      <c r="M144" s="176"/>
      <c r="N144" s="176"/>
      <c r="O144" s="176"/>
      <c r="P144" s="176"/>
      <c r="Q144" s="992">
        <v>146</v>
      </c>
      <c r="R144" s="176"/>
      <c r="S144" s="176"/>
      <c r="T144" s="176"/>
      <c r="U144" s="176"/>
      <c r="V144" s="992">
        <v>128</v>
      </c>
      <c r="W144" s="891">
        <v>29</v>
      </c>
      <c r="X144" s="891">
        <v>30</v>
      </c>
      <c r="Y144" s="891">
        <v>30</v>
      </c>
      <c r="Z144" s="176">
        <f>AA144-SUM(W144,X144,Y144)</f>
        <v>33</v>
      </c>
      <c r="AA144" s="992">
        <v>122</v>
      </c>
      <c r="AB144" s="891">
        <v>30</v>
      </c>
      <c r="AC144" s="891">
        <v>29</v>
      </c>
      <c r="AD144" s="891">
        <v>28</v>
      </c>
      <c r="AE144" s="176">
        <f>AF144-SUM(AB144,AC144,AD144)</f>
        <v>33</v>
      </c>
      <c r="AF144" s="992">
        <v>120</v>
      </c>
      <c r="AG144" s="891">
        <v>33</v>
      </c>
      <c r="AH144" s="891">
        <v>33</v>
      </c>
      <c r="AI144" s="891">
        <v>33</v>
      </c>
      <c r="AJ144" s="176">
        <f>AK144-SUM(AG144,AH144,AI144)</f>
        <v>34</v>
      </c>
      <c r="AK144" s="992">
        <v>133</v>
      </c>
      <c r="AL144" s="891">
        <v>33</v>
      </c>
      <c r="AM144" s="891">
        <v>43</v>
      </c>
      <c r="AN144" s="891">
        <v>44</v>
      </c>
      <c r="AO144" s="176">
        <f>AP144-SUM(AL144,AM144,AN144)</f>
        <v>44</v>
      </c>
      <c r="AP144" s="992">
        <v>164</v>
      </c>
      <c r="AQ144" s="891">
        <v>44</v>
      </c>
      <c r="AR144" s="891">
        <v>43</v>
      </c>
      <c r="AS144" s="891">
        <v>39</v>
      </c>
      <c r="AT144" s="176">
        <f>AU144-SUM(AQ144,AR144,AS144)</f>
        <v>39</v>
      </c>
      <c r="AU144" s="992">
        <v>165</v>
      </c>
      <c r="AV144" s="891">
        <v>40</v>
      </c>
      <c r="AW144" s="891">
        <v>40</v>
      </c>
      <c r="AX144" s="891">
        <v>44</v>
      </c>
      <c r="AY144" s="891">
        <v>39</v>
      </c>
      <c r="AZ144" s="992">
        <v>162</v>
      </c>
      <c r="BA144" s="891">
        <v>33</v>
      </c>
      <c r="BB144" s="891">
        <v>37</v>
      </c>
      <c r="BC144" s="891">
        <v>39</v>
      </c>
      <c r="BD144" s="891">
        <v>36</v>
      </c>
      <c r="BE144" s="992">
        <v>144</v>
      </c>
      <c r="BF144" s="891">
        <v>36</v>
      </c>
      <c r="BG144" s="891">
        <v>38</v>
      </c>
      <c r="BH144" s="892">
        <v>39</v>
      </c>
      <c r="BI144" s="176"/>
      <c r="BJ144" s="971">
        <f>SUM(BF144,BG144,BH144,BI144)</f>
        <v>113</v>
      </c>
      <c r="BK144" s="176"/>
      <c r="BL144" s="176"/>
      <c r="BM144" s="176"/>
      <c r="BN144" s="176"/>
      <c r="BO144" s="971">
        <f>SUM(BK144,BL144,BM144,BN144)</f>
        <v>0</v>
      </c>
      <c r="BP144" s="971"/>
      <c r="BQ144" s="971"/>
      <c r="BR144" s="971"/>
      <c r="BS144" s="229"/>
    </row>
    <row r="145" spans="1:71" s="224" customFormat="1" ht="15" hidden="1" outlineLevel="1">
      <c r="A145" s="362" t="s">
        <v>374</v>
      </c>
      <c r="B145" s="389"/>
      <c r="C145" s="971"/>
      <c r="D145" s="971"/>
      <c r="E145" s="971"/>
      <c r="F145" s="971"/>
      <c r="G145" s="971"/>
      <c r="H145" s="176"/>
      <c r="I145" s="176"/>
      <c r="J145" s="176"/>
      <c r="K145" s="176"/>
      <c r="L145" s="971"/>
      <c r="M145" s="176"/>
      <c r="N145" s="176"/>
      <c r="O145" s="176"/>
      <c r="P145" s="176"/>
      <c r="Q145" s="992">
        <v>112</v>
      </c>
      <c r="R145" s="176"/>
      <c r="S145" s="176"/>
      <c r="T145" s="176"/>
      <c r="U145" s="176"/>
      <c r="V145" s="992">
        <v>165</v>
      </c>
      <c r="W145" s="891">
        <v>35</v>
      </c>
      <c r="X145" s="891">
        <v>36</v>
      </c>
      <c r="Y145" s="891">
        <v>37</v>
      </c>
      <c r="Z145" s="176">
        <f>AA145-SUM(W145,X145,Y145)</f>
        <v>46</v>
      </c>
      <c r="AA145" s="992">
        <v>154</v>
      </c>
      <c r="AB145" s="891">
        <v>43</v>
      </c>
      <c r="AC145" s="891">
        <v>45</v>
      </c>
      <c r="AD145" s="891">
        <v>36</v>
      </c>
      <c r="AE145" s="176">
        <f>AF145-SUM(AB145,AC145,AD145)</f>
        <v>35</v>
      </c>
      <c r="AF145" s="992">
        <v>159</v>
      </c>
      <c r="AG145" s="891">
        <v>33</v>
      </c>
      <c r="AH145" s="891">
        <v>40</v>
      </c>
      <c r="AI145" s="891">
        <v>32</v>
      </c>
      <c r="AJ145" s="176">
        <f>AK145-SUM(AG145,AH145,AI145)</f>
        <v>32</v>
      </c>
      <c r="AK145" s="992">
        <v>137</v>
      </c>
      <c r="AL145" s="891">
        <v>29</v>
      </c>
      <c r="AM145" s="891">
        <v>40</v>
      </c>
      <c r="AN145" s="891">
        <v>35</v>
      </c>
      <c r="AO145" s="176">
        <f>AP145-SUM(AL145,AM145,AN145)</f>
        <v>51</v>
      </c>
      <c r="AP145" s="992">
        <v>155</v>
      </c>
      <c r="AQ145" s="891">
        <v>22</v>
      </c>
      <c r="AR145" s="891">
        <v>42</v>
      </c>
      <c r="AS145" s="891">
        <v>32</v>
      </c>
      <c r="AT145" s="891">
        <v>41</v>
      </c>
      <c r="AU145" s="992">
        <v>142</v>
      </c>
      <c r="AV145" s="891">
        <v>40</v>
      </c>
      <c r="AW145" s="891">
        <v>44</v>
      </c>
      <c r="AX145" s="891">
        <v>45</v>
      </c>
      <c r="AY145" s="891">
        <v>53</v>
      </c>
      <c r="AZ145" s="992">
        <v>182</v>
      </c>
      <c r="BA145" s="891">
        <v>57</v>
      </c>
      <c r="BB145" s="891">
        <v>60</v>
      </c>
      <c r="BC145" s="884">
        <v>59</v>
      </c>
      <c r="BD145" s="884">
        <v>97</v>
      </c>
      <c r="BE145" s="984">
        <v>273</v>
      </c>
      <c r="BF145" s="891">
        <v>107</v>
      </c>
      <c r="BG145" s="891">
        <v>95</v>
      </c>
      <c r="BH145" s="905">
        <v>97</v>
      </c>
      <c r="BI145" s="891">
        <v>32</v>
      </c>
      <c r="BJ145" s="971">
        <f>SUM(BF145,BG145,BH145,BI145)</f>
        <v>331</v>
      </c>
      <c r="BK145" s="891">
        <v>32</v>
      </c>
      <c r="BL145" s="891">
        <v>32</v>
      </c>
      <c r="BM145" s="891">
        <v>32</v>
      </c>
      <c r="BN145" s="891">
        <v>32</v>
      </c>
      <c r="BO145" s="971">
        <f>SUM(BK145,BL145,BM145,BN145)</f>
        <v>128</v>
      </c>
      <c r="BP145" s="992">
        <v>130</v>
      </c>
      <c r="BQ145" s="992">
        <v>130</v>
      </c>
      <c r="BR145" s="992">
        <v>130</v>
      </c>
      <c r="BS145" s="229"/>
    </row>
    <row r="146" spans="1:71" s="44" customFormat="1" ht="15" hidden="1" outlineLevel="1">
      <c r="A146" s="366" t="s">
        <v>352</v>
      </c>
      <c r="B146" s="386"/>
      <c r="C146" s="982">
        <f t="shared" si="362" ref="C146:AB146">C142-SUM(C143:C145)</f>
        <v>0</v>
      </c>
      <c r="D146" s="982">
        <f t="shared" si="362"/>
        <v>0</v>
      </c>
      <c r="E146" s="982">
        <f t="shared" si="362"/>
        <v>0</v>
      </c>
      <c r="F146" s="982">
        <f t="shared" si="362"/>
        <v>0</v>
      </c>
      <c r="G146" s="982">
        <f t="shared" si="362"/>
        <v>0</v>
      </c>
      <c r="H146" s="25">
        <f t="shared" si="362"/>
        <v>0</v>
      </c>
      <c r="I146" s="25">
        <f t="shared" si="362"/>
        <v>0</v>
      </c>
      <c r="J146" s="25">
        <f t="shared" si="362"/>
        <v>0</v>
      </c>
      <c r="K146" s="25">
        <f t="shared" si="362"/>
        <v>0</v>
      </c>
      <c r="L146" s="982">
        <f t="shared" si="362"/>
        <v>0</v>
      </c>
      <c r="M146" s="25">
        <f t="shared" si="362"/>
        <v>0</v>
      </c>
      <c r="N146" s="25">
        <f t="shared" si="362"/>
        <v>0</v>
      </c>
      <c r="O146" s="25">
        <f t="shared" si="362"/>
        <v>0</v>
      </c>
      <c r="P146" s="25">
        <f t="shared" si="362"/>
        <v>0</v>
      </c>
      <c r="Q146" s="982">
        <f t="shared" si="362"/>
        <v>-204</v>
      </c>
      <c r="R146" s="25">
        <f t="shared" si="362"/>
        <v>0</v>
      </c>
      <c r="S146" s="25">
        <f t="shared" si="362"/>
        <v>0</v>
      </c>
      <c r="T146" s="25">
        <f t="shared" si="362"/>
        <v>0</v>
      </c>
      <c r="U146" s="25">
        <f t="shared" si="362"/>
        <v>0</v>
      </c>
      <c r="V146" s="982">
        <f t="shared" si="362"/>
        <v>-239</v>
      </c>
      <c r="W146" s="25">
        <f t="shared" si="362"/>
        <v>-53</v>
      </c>
      <c r="X146" s="25">
        <f t="shared" si="362"/>
        <v>-48</v>
      </c>
      <c r="Y146" s="25">
        <f t="shared" si="362"/>
        <v>-50</v>
      </c>
      <c r="Z146" s="25">
        <f t="shared" si="362"/>
        <v>-62</v>
      </c>
      <c r="AA146" s="982">
        <f t="shared" si="362"/>
        <v>-213</v>
      </c>
      <c r="AB146" s="25">
        <f t="shared" si="362"/>
        <v>-46</v>
      </c>
      <c r="AC146" s="893">
        <v>-38</v>
      </c>
      <c r="AD146" s="25">
        <f t="shared" si="363" ref="AD146:AN146">AD142-SUM(AD143:AD145)</f>
        <v>-29</v>
      </c>
      <c r="AE146" s="25">
        <f t="shared" si="363"/>
        <v>-25</v>
      </c>
      <c r="AF146" s="982">
        <f t="shared" si="363"/>
        <v>-139</v>
      </c>
      <c r="AG146" s="25">
        <f t="shared" si="363"/>
        <v>-18</v>
      </c>
      <c r="AH146" s="25">
        <f t="shared" si="363"/>
        <v>-26</v>
      </c>
      <c r="AI146" s="25">
        <f t="shared" si="363"/>
        <v>-17</v>
      </c>
      <c r="AJ146" s="25">
        <f t="shared" si="363"/>
        <v>-11</v>
      </c>
      <c r="AK146" s="982">
        <f t="shared" si="363"/>
        <v>-72</v>
      </c>
      <c r="AL146" s="111">
        <f t="shared" si="363"/>
        <v>2</v>
      </c>
      <c r="AM146" s="25">
        <f t="shared" si="363"/>
        <v>-30</v>
      </c>
      <c r="AN146" s="25">
        <f t="shared" si="363"/>
        <v>-39</v>
      </c>
      <c r="AO146" s="25">
        <f t="shared" si="364" ref="AO146:AP146">AO142-SUM(AO143:AO145)</f>
        <v>-48</v>
      </c>
      <c r="AP146" s="982">
        <f t="shared" si="364"/>
        <v>-115</v>
      </c>
      <c r="AQ146" s="111">
        <f t="shared" si="365" ref="AQ146">AQ142-SUM(AQ143:AQ145)</f>
        <v>-26</v>
      </c>
      <c r="AR146" s="25">
        <f t="shared" si="366" ref="AR146:AW146">AR142-SUM(AR143:AR145)</f>
        <v>-76</v>
      </c>
      <c r="AS146" s="25">
        <f t="shared" si="366"/>
        <v>-41</v>
      </c>
      <c r="AT146" s="25">
        <f t="shared" si="366"/>
        <v>-155</v>
      </c>
      <c r="AU146" s="982">
        <f t="shared" si="366"/>
        <v>-298</v>
      </c>
      <c r="AV146" s="111">
        <f t="shared" si="366"/>
        <v>-43</v>
      </c>
      <c r="AW146" s="25">
        <f t="shared" si="366"/>
        <v>-76</v>
      </c>
      <c r="AX146" s="25">
        <f t="shared" si="367" ref="AX146:BJ146">AX142-SUM(AX143:AX145)</f>
        <v>-56</v>
      </c>
      <c r="AY146" s="25">
        <f t="shared" si="367"/>
        <v>-44</v>
      </c>
      <c r="AZ146" s="982">
        <f t="shared" si="367"/>
        <v>-218</v>
      </c>
      <c r="BA146" s="111">
        <f t="shared" si="368" ref="BA146:BI146">BA142-SUM(BA143:BA145)</f>
        <v>-7</v>
      </c>
      <c r="BB146" s="25">
        <f t="shared" si="368"/>
        <v>-53</v>
      </c>
      <c r="BC146" s="185">
        <f t="shared" si="368"/>
        <v>-49</v>
      </c>
      <c r="BD146" s="185">
        <f t="shared" si="368"/>
        <v>-318</v>
      </c>
      <c r="BE146" s="978">
        <f t="shared" si="368"/>
        <v>-425</v>
      </c>
      <c r="BF146" s="111">
        <f>BF142-SUM(BF143:BF145)</f>
        <v>-3</v>
      </c>
      <c r="BG146" s="25">
        <f>BG142-SUM(BG143:BG145)</f>
        <v>24</v>
      </c>
      <c r="BH146" s="552">
        <f>BH142-SUM(BH143:BH145)</f>
        <v>15</v>
      </c>
      <c r="BI146" s="25">
        <f t="shared" si="368"/>
        <v>9</v>
      </c>
      <c r="BJ146" s="982">
        <f t="shared" si="367"/>
        <v>45</v>
      </c>
      <c r="BK146" s="25">
        <f t="shared" si="369" ref="BK146:BR146">BK142-SUM(BK143:BK145)</f>
        <v>9</v>
      </c>
      <c r="BL146" s="25">
        <f t="shared" si="369"/>
        <v>9</v>
      </c>
      <c r="BM146" s="25">
        <f t="shared" si="369"/>
        <v>9</v>
      </c>
      <c r="BN146" s="25">
        <f t="shared" si="369"/>
        <v>9</v>
      </c>
      <c r="BO146" s="982">
        <f t="shared" si="369"/>
        <v>36</v>
      </c>
      <c r="BP146" s="982">
        <f t="shared" si="369"/>
        <v>29</v>
      </c>
      <c r="BQ146" s="982">
        <f t="shared" si="369"/>
        <v>29</v>
      </c>
      <c r="BR146" s="982">
        <f t="shared" si="369"/>
        <v>29</v>
      </c>
      <c r="BS146" s="100"/>
    </row>
    <row r="147" spans="1:71" s="42" customFormat="1" ht="15" collapsed="1">
      <c r="A147" s="398"/>
      <c r="B147" s="393"/>
      <c r="C147" s="964"/>
      <c r="D147" s="964"/>
      <c r="E147" s="964"/>
      <c r="F147" s="964"/>
      <c r="G147" s="964"/>
      <c r="H147" s="395"/>
      <c r="I147" s="395"/>
      <c r="J147" s="395"/>
      <c r="K147" s="395"/>
      <c r="L147" s="964"/>
      <c r="M147" s="395"/>
      <c r="N147" s="395"/>
      <c r="O147" s="395"/>
      <c r="P147" s="395"/>
      <c r="Q147" s="964"/>
      <c r="R147" s="395"/>
      <c r="S147" s="395"/>
      <c r="T147" s="395"/>
      <c r="U147" s="395"/>
      <c r="V147" s="964"/>
      <c r="W147" s="395"/>
      <c r="X147" s="395"/>
      <c r="Y147" s="395"/>
      <c r="Z147" s="395"/>
      <c r="AA147" s="964"/>
      <c r="AB147" s="395"/>
      <c r="AC147" s="395"/>
      <c r="AD147" s="395"/>
      <c r="AE147" s="395"/>
      <c r="AF147" s="964"/>
      <c r="AG147" s="395"/>
      <c r="AH147" s="395"/>
      <c r="AI147" s="395"/>
      <c r="AJ147" s="395"/>
      <c r="AK147" s="964"/>
      <c r="AL147" s="395"/>
      <c r="AM147" s="395"/>
      <c r="AN147" s="395"/>
      <c r="AO147" s="395"/>
      <c r="AP147" s="964"/>
      <c r="AQ147" s="395"/>
      <c r="AR147" s="395"/>
      <c r="AS147" s="395"/>
      <c r="AT147" s="395"/>
      <c r="AU147" s="964"/>
      <c r="AV147" s="395"/>
      <c r="AW147" s="395"/>
      <c r="AX147" s="395"/>
      <c r="AY147" s="395"/>
      <c r="AZ147" s="964"/>
      <c r="BA147" s="395"/>
      <c r="BB147" s="395"/>
      <c r="BC147" s="395"/>
      <c r="BD147" s="395"/>
      <c r="BE147" s="964"/>
      <c r="BF147" s="395"/>
      <c r="BG147" s="395"/>
      <c r="BH147" s="737"/>
      <c r="BI147" s="395"/>
      <c r="BJ147" s="964"/>
      <c r="BK147" s="395"/>
      <c r="BL147" s="395"/>
      <c r="BM147" s="395"/>
      <c r="BN147" s="395"/>
      <c r="BO147" s="964"/>
      <c r="BP147" s="964"/>
      <c r="BQ147" s="964"/>
      <c r="BR147" s="964"/>
      <c r="BS147" s="91"/>
    </row>
    <row r="148" spans="1:71" s="43" customFormat="1" ht="15">
      <c r="A148" s="812" t="s">
        <v>443</v>
      </c>
      <c r="B148" s="812"/>
      <c r="C148" s="828"/>
      <c r="D148" s="828"/>
      <c r="E148" s="828"/>
      <c r="F148" s="828"/>
      <c r="G148" s="828"/>
      <c r="H148" s="828"/>
      <c r="I148" s="828"/>
      <c r="J148" s="828"/>
      <c r="K148" s="828"/>
      <c r="L148" s="828"/>
      <c r="M148" s="828"/>
      <c r="N148" s="828"/>
      <c r="O148" s="828"/>
      <c r="P148" s="828"/>
      <c r="Q148" s="828"/>
      <c r="R148" s="828"/>
      <c r="S148" s="828"/>
      <c r="T148" s="828"/>
      <c r="U148" s="828"/>
      <c r="V148" s="828"/>
      <c r="W148" s="828"/>
      <c r="X148" s="828"/>
      <c r="Y148" s="828"/>
      <c r="Z148" s="828"/>
      <c r="AA148" s="828"/>
      <c r="AB148" s="828"/>
      <c r="AC148" s="828"/>
      <c r="AD148" s="828"/>
      <c r="AE148" s="828"/>
      <c r="AF148" s="828"/>
      <c r="AG148" s="828"/>
      <c r="AH148" s="828"/>
      <c r="AI148" s="828"/>
      <c r="AJ148" s="828"/>
      <c r="AK148" s="828"/>
      <c r="AL148" s="828"/>
      <c r="AM148" s="828"/>
      <c r="AN148" s="828"/>
      <c r="AO148" s="828"/>
      <c r="AP148" s="828"/>
      <c r="AQ148" s="828"/>
      <c r="AR148" s="828"/>
      <c r="AS148" s="828"/>
      <c r="AT148" s="828"/>
      <c r="AU148" s="828"/>
      <c r="AV148" s="828"/>
      <c r="AW148" s="828"/>
      <c r="AX148" s="828"/>
      <c r="AY148" s="828"/>
      <c r="AZ148" s="828"/>
      <c r="BA148" s="828"/>
      <c r="BB148" s="828"/>
      <c r="BC148" s="828"/>
      <c r="BD148" s="828"/>
      <c r="BE148" s="828"/>
      <c r="BF148" s="828"/>
      <c r="BG148" s="828"/>
      <c r="BH148" s="829"/>
      <c r="BI148" s="828"/>
      <c r="BJ148" s="828"/>
      <c r="BK148" s="828"/>
      <c r="BL148" s="828"/>
      <c r="BM148" s="828"/>
      <c r="BN148" s="828"/>
      <c r="BO148" s="828"/>
      <c r="BP148" s="828"/>
      <c r="BQ148" s="828"/>
      <c r="BR148" s="828"/>
      <c r="BS148" s="475"/>
    </row>
    <row r="149" spans="1:71" s="224" customFormat="1" ht="15" hidden="1" outlineLevel="1">
      <c r="A149" s="565" t="s">
        <v>444</v>
      </c>
      <c r="B149" s="389"/>
      <c r="C149" s="971">
        <f t="shared" si="370" ref="C149:AY149">C24</f>
        <v>11308</v>
      </c>
      <c r="D149" s="971">
        <f t="shared" si="370"/>
        <v>12106</v>
      </c>
      <c r="E149" s="971">
        <f t="shared" si="370"/>
        <v>13749</v>
      </c>
      <c r="F149" s="971">
        <f t="shared" si="370"/>
        <v>15330</v>
      </c>
      <c r="G149" s="971">
        <f t="shared" si="370"/>
        <v>13813</v>
      </c>
      <c r="H149" s="176">
        <f t="shared" si="370"/>
        <v>3220</v>
      </c>
      <c r="I149" s="176">
        <f t="shared" si="370"/>
        <v>3293</v>
      </c>
      <c r="J149" s="176">
        <f t="shared" si="370"/>
        <v>3355</v>
      </c>
      <c r="K149" s="176">
        <f t="shared" si="370"/>
        <v>3069</v>
      </c>
      <c r="L149" s="971">
        <f t="shared" si="370"/>
        <v>12937</v>
      </c>
      <c r="M149" s="176">
        <f t="shared" si="370"/>
        <v>2952</v>
      </c>
      <c r="N149" s="176">
        <f t="shared" si="370"/>
        <v>2937</v>
      </c>
      <c r="O149" s="176">
        <f t="shared" si="370"/>
        <v>2927</v>
      </c>
      <c r="P149" s="176">
        <f t="shared" si="370"/>
        <v>2930</v>
      </c>
      <c r="Q149" s="971">
        <f t="shared" si="370"/>
        <v>11746</v>
      </c>
      <c r="R149" s="176">
        <f t="shared" si="370"/>
        <v>3025</v>
      </c>
      <c r="S149" s="176">
        <f t="shared" si="370"/>
        <v>3254</v>
      </c>
      <c r="T149" s="176">
        <f t="shared" si="370"/>
        <v>3378</v>
      </c>
      <c r="U149" s="176">
        <f t="shared" si="370"/>
        <v>3262</v>
      </c>
      <c r="V149" s="971">
        <f t="shared" si="370"/>
        <v>12919</v>
      </c>
      <c r="W149" s="176">
        <f t="shared" si="370"/>
        <v>3052</v>
      </c>
      <c r="X149" s="176">
        <f t="shared" si="370"/>
        <v>3039</v>
      </c>
      <c r="Y149" s="176">
        <f t="shared" si="370"/>
        <v>3083</v>
      </c>
      <c r="Z149" s="176">
        <f t="shared" si="370"/>
        <v>3007</v>
      </c>
      <c r="AA149" s="971">
        <f t="shared" si="370"/>
        <v>12181</v>
      </c>
      <c r="AB149" s="176">
        <f t="shared" si="370"/>
        <v>3042</v>
      </c>
      <c r="AC149" s="176">
        <f t="shared" si="370"/>
        <v>3031</v>
      </c>
      <c r="AD149" s="176">
        <f t="shared" si="370"/>
        <v>3002</v>
      </c>
      <c r="AE149" s="176">
        <f t="shared" si="370"/>
        <v>2925</v>
      </c>
      <c r="AF149" s="971">
        <f t="shared" si="370"/>
        <v>12000</v>
      </c>
      <c r="AG149" s="176">
        <f t="shared" si="370"/>
        <v>2967</v>
      </c>
      <c r="AH149" s="176">
        <f t="shared" si="370"/>
        <v>2964</v>
      </c>
      <c r="AI149" s="176">
        <f t="shared" si="370"/>
        <v>3027</v>
      </c>
      <c r="AJ149" s="176">
        <f t="shared" si="370"/>
        <v>2984</v>
      </c>
      <c r="AK149" s="971">
        <f t="shared" si="370"/>
        <v>11942</v>
      </c>
      <c r="AL149" s="176">
        <f t="shared" si="370"/>
        <v>2939</v>
      </c>
      <c r="AM149" s="176">
        <f t="shared" si="370"/>
        <v>2897</v>
      </c>
      <c r="AN149" s="176">
        <f t="shared" si="370"/>
        <v>2985</v>
      </c>
      <c r="AO149" s="176">
        <f t="shared" si="370"/>
        <v>2975</v>
      </c>
      <c r="AP149" s="971">
        <f t="shared" si="370"/>
        <v>11796</v>
      </c>
      <c r="AQ149" s="176">
        <f t="shared" si="370"/>
        <v>2735</v>
      </c>
      <c r="AR149" s="176">
        <f t="shared" si="370"/>
        <v>2653</v>
      </c>
      <c r="AS149" s="176">
        <f t="shared" si="370"/>
        <v>2609</v>
      </c>
      <c r="AT149" s="176">
        <f t="shared" si="370"/>
        <v>2579</v>
      </c>
      <c r="AU149" s="971">
        <f t="shared" si="370"/>
        <v>10576</v>
      </c>
      <c r="AV149" s="176">
        <f t="shared" si="370"/>
        <v>2483</v>
      </c>
      <c r="AW149" s="176">
        <f t="shared" si="370"/>
        <v>2274</v>
      </c>
      <c r="AX149" s="176">
        <f t="shared" si="370"/>
        <v>2076</v>
      </c>
      <c r="AY149" s="176">
        <f t="shared" si="370"/>
        <v>2054</v>
      </c>
      <c r="AZ149" s="971">
        <f t="shared" si="371" ref="AZ149:BE149">AZ24</f>
        <v>8887</v>
      </c>
      <c r="BA149" s="176">
        <f t="shared" si="371"/>
        <v>2150</v>
      </c>
      <c r="BB149" s="176">
        <f t="shared" si="371"/>
        <v>2098</v>
      </c>
      <c r="BC149" s="176">
        <f t="shared" si="371"/>
        <v>1860</v>
      </c>
      <c r="BD149" s="176">
        <f t="shared" si="371"/>
        <v>2103</v>
      </c>
      <c r="BE149" s="971">
        <f t="shared" si="371"/>
        <v>8211</v>
      </c>
      <c r="BF149" s="176">
        <f>BF24</f>
        <v>2010</v>
      </c>
      <c r="BG149" s="176">
        <f>BG24</f>
        <v>1921</v>
      </c>
      <c r="BH149" s="551">
        <f>BH24</f>
        <v>1595</v>
      </c>
      <c r="BI149" s="176"/>
      <c r="BJ149" s="971"/>
      <c r="BK149" s="176"/>
      <c r="BL149" s="176"/>
      <c r="BM149" s="176"/>
      <c r="BN149" s="176"/>
      <c r="BO149" s="971"/>
      <c r="BP149" s="971"/>
      <c r="BQ149" s="971"/>
      <c r="BR149" s="971"/>
      <c r="BS149" s="229"/>
    </row>
    <row r="150" spans="1:71" s="224" customFormat="1" ht="15" hidden="1" outlineLevel="1">
      <c r="A150" s="362" t="s">
        <v>445</v>
      </c>
      <c r="B150" s="389"/>
      <c r="C150" s="971">
        <f t="shared" si="372" ref="C150:AH150">C29</f>
        <v>942</v>
      </c>
      <c r="D150" s="971">
        <f t="shared" si="372"/>
        <v>1030</v>
      </c>
      <c r="E150" s="971">
        <f t="shared" si="372"/>
        <v>1033</v>
      </c>
      <c r="F150" s="971">
        <f t="shared" si="372"/>
        <v>1117</v>
      </c>
      <c r="G150" s="971">
        <f t="shared" si="372"/>
        <v>1074</v>
      </c>
      <c r="H150" s="176">
        <f t="shared" si="372"/>
        <v>294</v>
      </c>
      <c r="I150" s="176">
        <f t="shared" si="372"/>
        <v>276</v>
      </c>
      <c r="J150" s="176">
        <f t="shared" si="372"/>
        <v>271</v>
      </c>
      <c r="K150" s="176">
        <f t="shared" si="372"/>
        <v>267</v>
      </c>
      <c r="L150" s="971">
        <f t="shared" si="372"/>
        <v>1108</v>
      </c>
      <c r="M150" s="176">
        <f t="shared" si="372"/>
        <v>277</v>
      </c>
      <c r="N150" s="176">
        <f t="shared" si="372"/>
        <v>255</v>
      </c>
      <c r="O150" s="176">
        <f t="shared" si="372"/>
        <v>258</v>
      </c>
      <c r="P150" s="176">
        <f t="shared" si="372"/>
        <v>276</v>
      </c>
      <c r="Q150" s="971">
        <f t="shared" si="372"/>
        <v>1066</v>
      </c>
      <c r="R150" s="176">
        <f t="shared" si="372"/>
        <v>292</v>
      </c>
      <c r="S150" s="176">
        <f t="shared" si="372"/>
        <v>284</v>
      </c>
      <c r="T150" s="176">
        <f t="shared" si="372"/>
        <v>282</v>
      </c>
      <c r="U150" s="176">
        <f t="shared" si="372"/>
        <v>283</v>
      </c>
      <c r="V150" s="971">
        <f t="shared" si="372"/>
        <v>1141</v>
      </c>
      <c r="W150" s="176">
        <f t="shared" si="372"/>
        <v>294</v>
      </c>
      <c r="X150" s="176">
        <f t="shared" si="372"/>
        <v>283</v>
      </c>
      <c r="Y150" s="176">
        <f t="shared" si="372"/>
        <v>271</v>
      </c>
      <c r="Z150" s="176">
        <f t="shared" si="372"/>
        <v>284</v>
      </c>
      <c r="AA150" s="971">
        <f t="shared" si="372"/>
        <v>1132</v>
      </c>
      <c r="AB150" s="176">
        <f t="shared" si="372"/>
        <v>314</v>
      </c>
      <c r="AC150" s="176">
        <f t="shared" si="372"/>
        <v>303</v>
      </c>
      <c r="AD150" s="176">
        <f t="shared" si="372"/>
        <v>315</v>
      </c>
      <c r="AE150" s="176">
        <f t="shared" si="372"/>
        <v>313</v>
      </c>
      <c r="AF150" s="971">
        <f t="shared" si="372"/>
        <v>1245</v>
      </c>
      <c r="AG150" s="176">
        <f t="shared" si="372"/>
        <v>340</v>
      </c>
      <c r="AH150" s="176">
        <f t="shared" si="372"/>
        <v>309</v>
      </c>
      <c r="AI150" s="176">
        <f t="shared" si="373" ref="AI150:AZ150">AI29</f>
        <v>317</v>
      </c>
      <c r="AJ150" s="176">
        <f t="shared" si="373"/>
        <v>316</v>
      </c>
      <c r="AK150" s="971">
        <f t="shared" si="373"/>
        <v>1282</v>
      </c>
      <c r="AL150" s="176">
        <f t="shared" si="373"/>
        <v>333</v>
      </c>
      <c r="AM150" s="176">
        <f t="shared" si="373"/>
        <v>289</v>
      </c>
      <c r="AN150" s="176">
        <f t="shared" si="373"/>
        <v>292</v>
      </c>
      <c r="AO150" s="176">
        <f t="shared" si="373"/>
        <v>300</v>
      </c>
      <c r="AP150" s="971">
        <f t="shared" si="373"/>
        <v>1214</v>
      </c>
      <c r="AQ150" s="176">
        <f t="shared" si="373"/>
        <v>311</v>
      </c>
      <c r="AR150" s="176">
        <f t="shared" si="373"/>
        <v>280</v>
      </c>
      <c r="AS150" s="176">
        <f t="shared" si="373"/>
        <v>278</v>
      </c>
      <c r="AT150" s="176">
        <f t="shared" si="373"/>
        <v>301</v>
      </c>
      <c r="AU150" s="971">
        <f t="shared" si="373"/>
        <v>1170</v>
      </c>
      <c r="AV150" s="176">
        <f t="shared" si="373"/>
        <v>207</v>
      </c>
      <c r="AW150" s="176">
        <f t="shared" si="373"/>
        <v>197</v>
      </c>
      <c r="AX150" s="176">
        <f t="shared" si="373"/>
        <v>194</v>
      </c>
      <c r="AY150" s="176">
        <f t="shared" si="373"/>
        <v>194</v>
      </c>
      <c r="AZ150" s="971">
        <f t="shared" si="373"/>
        <v>792</v>
      </c>
      <c r="BA150" s="176">
        <f t="shared" si="374" ref="BA150:BF150">BA29</f>
        <v>205</v>
      </c>
      <c r="BB150" s="176">
        <f t="shared" si="374"/>
        <v>202</v>
      </c>
      <c r="BC150" s="176">
        <f t="shared" si="374"/>
        <v>201</v>
      </c>
      <c r="BD150" s="176">
        <f t="shared" si="374"/>
        <v>208</v>
      </c>
      <c r="BE150" s="971">
        <f t="shared" si="374"/>
        <v>816</v>
      </c>
      <c r="BF150" s="176">
        <f t="shared" si="374"/>
        <v>215</v>
      </c>
      <c r="BG150" s="176">
        <f>BG29</f>
        <v>208</v>
      </c>
      <c r="BH150" s="551">
        <f>BH29</f>
        <v>214</v>
      </c>
      <c r="BI150" s="176"/>
      <c r="BJ150" s="971"/>
      <c r="BK150" s="176"/>
      <c r="BL150" s="176"/>
      <c r="BM150" s="176"/>
      <c r="BN150" s="176"/>
      <c r="BO150" s="971"/>
      <c r="BP150" s="971"/>
      <c r="BQ150" s="971"/>
      <c r="BR150" s="971"/>
      <c r="BS150" s="229"/>
    </row>
    <row r="151" spans="1:71" s="224" customFormat="1" ht="15" hidden="1" outlineLevel="1">
      <c r="A151" s="565" t="s">
        <v>446</v>
      </c>
      <c r="B151" s="389"/>
      <c r="C151" s="971">
        <f t="shared" si="375" ref="C151:AY151">C177</f>
        <v>72</v>
      </c>
      <c r="D151" s="971">
        <f t="shared" si="375"/>
        <v>149</v>
      </c>
      <c r="E151" s="971">
        <f t="shared" si="375"/>
        <v>196</v>
      </c>
      <c r="F151" s="971">
        <f t="shared" si="375"/>
        <v>261</v>
      </c>
      <c r="G151" s="971">
        <f t="shared" si="375"/>
        <v>293</v>
      </c>
      <c r="H151" s="176">
        <f t="shared" si="375"/>
        <v>80</v>
      </c>
      <c r="I151" s="176">
        <f t="shared" si="375"/>
        <v>81</v>
      </c>
      <c r="J151" s="176">
        <f t="shared" si="375"/>
        <v>77</v>
      </c>
      <c r="K151" s="176">
        <f t="shared" si="375"/>
        <v>79</v>
      </c>
      <c r="L151" s="971">
        <f t="shared" si="375"/>
        <v>317</v>
      </c>
      <c r="M151" s="176">
        <f t="shared" si="375"/>
        <v>83</v>
      </c>
      <c r="N151" s="176">
        <f t="shared" si="375"/>
        <v>74</v>
      </c>
      <c r="O151" s="176">
        <f t="shared" si="375"/>
        <v>67</v>
      </c>
      <c r="P151" s="176">
        <f t="shared" si="375"/>
        <v>65</v>
      </c>
      <c r="Q151" s="971">
        <f t="shared" si="375"/>
        <v>289</v>
      </c>
      <c r="R151" s="176">
        <f t="shared" si="375"/>
        <v>65</v>
      </c>
      <c r="S151" s="176">
        <f t="shared" si="375"/>
        <v>66</v>
      </c>
      <c r="T151" s="176">
        <f t="shared" si="375"/>
        <v>65</v>
      </c>
      <c r="U151" s="176">
        <f t="shared" si="375"/>
        <v>72</v>
      </c>
      <c r="V151" s="971">
        <f t="shared" si="375"/>
        <v>268</v>
      </c>
      <c r="W151" s="176">
        <f t="shared" si="375"/>
        <v>62</v>
      </c>
      <c r="X151" s="176">
        <f t="shared" si="375"/>
        <v>61</v>
      </c>
      <c r="Y151" s="176">
        <f t="shared" si="375"/>
        <v>59</v>
      </c>
      <c r="Z151" s="176">
        <f t="shared" si="375"/>
        <v>58</v>
      </c>
      <c r="AA151" s="971">
        <f t="shared" si="375"/>
        <v>240</v>
      </c>
      <c r="AB151" s="176">
        <f t="shared" si="375"/>
        <v>56</v>
      </c>
      <c r="AC151" s="176">
        <f t="shared" si="375"/>
        <v>54</v>
      </c>
      <c r="AD151" s="176">
        <f t="shared" si="375"/>
        <v>53</v>
      </c>
      <c r="AE151" s="176">
        <f t="shared" si="375"/>
        <v>59</v>
      </c>
      <c r="AF151" s="971">
        <f t="shared" si="375"/>
        <v>222</v>
      </c>
      <c r="AG151" s="176">
        <f t="shared" si="375"/>
        <v>58</v>
      </c>
      <c r="AH151" s="176">
        <f t="shared" si="375"/>
        <v>57</v>
      </c>
      <c r="AI151" s="176">
        <f t="shared" si="375"/>
        <v>57</v>
      </c>
      <c r="AJ151" s="176">
        <f t="shared" si="375"/>
        <v>56</v>
      </c>
      <c r="AK151" s="971">
        <f t="shared" si="375"/>
        <v>228</v>
      </c>
      <c r="AL151" s="176">
        <f t="shared" si="375"/>
        <v>55</v>
      </c>
      <c r="AM151" s="176">
        <f t="shared" si="375"/>
        <v>63</v>
      </c>
      <c r="AN151" s="176">
        <f t="shared" si="375"/>
        <v>63</v>
      </c>
      <c r="AO151" s="176">
        <f t="shared" si="375"/>
        <v>61</v>
      </c>
      <c r="AP151" s="971">
        <f t="shared" si="375"/>
        <v>242</v>
      </c>
      <c r="AQ151" s="176">
        <f t="shared" si="375"/>
        <v>62</v>
      </c>
      <c r="AR151" s="176">
        <f t="shared" si="375"/>
        <v>62</v>
      </c>
      <c r="AS151" s="176">
        <f t="shared" si="375"/>
        <v>57</v>
      </c>
      <c r="AT151" s="176">
        <f t="shared" si="375"/>
        <v>57</v>
      </c>
      <c r="AU151" s="971">
        <f t="shared" si="375"/>
        <v>238</v>
      </c>
      <c r="AV151" s="176">
        <f t="shared" si="375"/>
        <v>56</v>
      </c>
      <c r="AW151" s="176">
        <f t="shared" si="375"/>
        <v>55</v>
      </c>
      <c r="AX151" s="176">
        <f t="shared" si="375"/>
        <v>59</v>
      </c>
      <c r="AY151" s="176">
        <f t="shared" si="375"/>
        <v>56</v>
      </c>
      <c r="AZ151" s="971">
        <f t="shared" si="376" ref="AZ151:BE151">AZ177</f>
        <v>226</v>
      </c>
      <c r="BA151" s="176">
        <f t="shared" si="376"/>
        <v>48</v>
      </c>
      <c r="BB151" s="176">
        <f t="shared" si="376"/>
        <v>51</v>
      </c>
      <c r="BC151" s="176">
        <f t="shared" si="376"/>
        <v>49</v>
      </c>
      <c r="BD151" s="176">
        <f t="shared" si="376"/>
        <v>47</v>
      </c>
      <c r="BE151" s="971">
        <f t="shared" si="376"/>
        <v>195</v>
      </c>
      <c r="BF151" s="176">
        <f>BF177</f>
        <v>47</v>
      </c>
      <c r="BG151" s="176">
        <f>BG177</f>
        <v>50</v>
      </c>
      <c r="BH151" s="551">
        <f>BH177</f>
        <v>50</v>
      </c>
      <c r="BI151" s="176"/>
      <c r="BJ151" s="971"/>
      <c r="BK151" s="176"/>
      <c r="BL151" s="176"/>
      <c r="BM151" s="176"/>
      <c r="BN151" s="176"/>
      <c r="BO151" s="971"/>
      <c r="BP151" s="971"/>
      <c r="BQ151" s="971"/>
      <c r="BR151" s="971"/>
      <c r="BS151" s="229"/>
    </row>
    <row r="152" spans="1:71" s="224" customFormat="1" ht="15" hidden="1" outlineLevel="1">
      <c r="A152" s="565" t="s">
        <v>447</v>
      </c>
      <c r="B152" s="389"/>
      <c r="C152" s="971">
        <f t="shared" si="377" ref="C152:AY152">C153-C149-C150-C151</f>
        <v>3697</v>
      </c>
      <c r="D152" s="971">
        <f t="shared" si="377"/>
        <v>3862</v>
      </c>
      <c r="E152" s="971">
        <f t="shared" si="377"/>
        <v>4243</v>
      </c>
      <c r="F152" s="971">
        <f t="shared" si="377"/>
        <v>4354</v>
      </c>
      <c r="G152" s="971">
        <f t="shared" si="377"/>
        <v>3943</v>
      </c>
      <c r="H152" s="176">
        <f t="shared" si="377"/>
        <v>942</v>
      </c>
      <c r="I152" s="176">
        <f t="shared" si="377"/>
        <v>950</v>
      </c>
      <c r="J152" s="176">
        <f t="shared" si="377"/>
        <v>959</v>
      </c>
      <c r="K152" s="176">
        <f t="shared" si="377"/>
        <v>1024</v>
      </c>
      <c r="L152" s="971">
        <f t="shared" si="377"/>
        <v>3875</v>
      </c>
      <c r="M152" s="176">
        <f t="shared" si="377"/>
        <v>901</v>
      </c>
      <c r="N152" s="176">
        <f t="shared" si="377"/>
        <v>1147</v>
      </c>
      <c r="O152" s="176">
        <f t="shared" si="377"/>
        <v>924</v>
      </c>
      <c r="P152" s="176">
        <f t="shared" si="377"/>
        <v>937</v>
      </c>
      <c r="Q152" s="971">
        <f t="shared" si="377"/>
        <v>3909</v>
      </c>
      <c r="R152" s="176">
        <f t="shared" si="377"/>
        <v>952</v>
      </c>
      <c r="S152" s="176">
        <f t="shared" si="377"/>
        <v>999</v>
      </c>
      <c r="T152" s="176">
        <f t="shared" si="377"/>
        <v>1028</v>
      </c>
      <c r="U152" s="176">
        <f t="shared" si="377"/>
        <v>1185</v>
      </c>
      <c r="V152" s="971">
        <f t="shared" si="377"/>
        <v>4164</v>
      </c>
      <c r="W152" s="176">
        <f t="shared" si="377"/>
        <v>1003</v>
      </c>
      <c r="X152" s="176">
        <f t="shared" si="377"/>
        <v>1000</v>
      </c>
      <c r="Y152" s="176">
        <f t="shared" si="377"/>
        <v>1018</v>
      </c>
      <c r="Z152" s="176">
        <f t="shared" si="377"/>
        <v>1075</v>
      </c>
      <c r="AA152" s="971">
        <f t="shared" si="377"/>
        <v>4096</v>
      </c>
      <c r="AB152" s="176">
        <f t="shared" si="377"/>
        <v>1070</v>
      </c>
      <c r="AC152" s="176">
        <f t="shared" si="377"/>
        <v>1070</v>
      </c>
      <c r="AD152" s="176">
        <f t="shared" si="377"/>
        <v>1061</v>
      </c>
      <c r="AE152" s="176">
        <f t="shared" si="377"/>
        <v>1107</v>
      </c>
      <c r="AF152" s="971">
        <f t="shared" si="377"/>
        <v>4308</v>
      </c>
      <c r="AG152" s="176">
        <f t="shared" si="377"/>
        <v>1050</v>
      </c>
      <c r="AH152" s="176">
        <f t="shared" si="377"/>
        <v>1072</v>
      </c>
      <c r="AI152" s="176">
        <f t="shared" si="377"/>
        <v>1099</v>
      </c>
      <c r="AJ152" s="176">
        <f t="shared" si="377"/>
        <v>1189</v>
      </c>
      <c r="AK152" s="971">
        <f t="shared" si="377"/>
        <v>4410</v>
      </c>
      <c r="AL152" s="176">
        <f t="shared" si="377"/>
        <v>1115</v>
      </c>
      <c r="AM152" s="176">
        <f t="shared" si="377"/>
        <v>1088</v>
      </c>
      <c r="AN152" s="176">
        <f t="shared" si="377"/>
        <v>1172</v>
      </c>
      <c r="AO152" s="176">
        <f t="shared" si="377"/>
        <v>1361</v>
      </c>
      <c r="AP152" s="971">
        <f t="shared" si="377"/>
        <v>4736</v>
      </c>
      <c r="AQ152" s="176">
        <f t="shared" si="377"/>
        <v>1158</v>
      </c>
      <c r="AR152" s="176">
        <f t="shared" si="377"/>
        <v>1196</v>
      </c>
      <c r="AS152" s="176">
        <f t="shared" si="377"/>
        <v>1180</v>
      </c>
      <c r="AT152" s="176">
        <f t="shared" si="377"/>
        <v>1266</v>
      </c>
      <c r="AU152" s="971">
        <f t="shared" si="377"/>
        <v>4800</v>
      </c>
      <c r="AV152" s="176">
        <f t="shared" si="377"/>
        <v>1133</v>
      </c>
      <c r="AW152" s="176">
        <f t="shared" si="377"/>
        <v>1081</v>
      </c>
      <c r="AX152" s="176">
        <f t="shared" si="377"/>
        <v>1046</v>
      </c>
      <c r="AY152" s="176">
        <f t="shared" si="377"/>
        <v>1106</v>
      </c>
      <c r="AZ152" s="971">
        <f t="shared" si="378" ref="AZ152:BE152">AZ153-AZ149-AZ150-AZ151</f>
        <v>4366</v>
      </c>
      <c r="BA152" s="176">
        <f t="shared" si="378"/>
        <v>1055</v>
      </c>
      <c r="BB152" s="176">
        <f t="shared" si="378"/>
        <v>996</v>
      </c>
      <c r="BC152" s="176">
        <f t="shared" si="378"/>
        <v>1035</v>
      </c>
      <c r="BD152" s="176">
        <f t="shared" si="378"/>
        <v>1131</v>
      </c>
      <c r="BE152" s="971">
        <f t="shared" si="378"/>
        <v>4217</v>
      </c>
      <c r="BF152" s="176">
        <f>BF153-BF149-BF150-BF151</f>
        <v>994</v>
      </c>
      <c r="BG152" s="176">
        <f>BG153-BG149-BG150-BG151</f>
        <v>940</v>
      </c>
      <c r="BH152" s="551">
        <f>BH153-BH149-BH150-BH151</f>
        <v>998</v>
      </c>
      <c r="BI152" s="176"/>
      <c r="BJ152" s="971"/>
      <c r="BK152" s="176"/>
      <c r="BL152" s="176"/>
      <c r="BM152" s="176"/>
      <c r="BN152" s="176"/>
      <c r="BO152" s="971"/>
      <c r="BP152" s="971"/>
      <c r="BQ152" s="971"/>
      <c r="BR152" s="971"/>
      <c r="BS152" s="229"/>
    </row>
    <row r="153" spans="1:71" s="44" customFormat="1" ht="15" hidden="1" outlineLevel="1">
      <c r="A153" s="366" t="s">
        <v>448</v>
      </c>
      <c r="B153" s="386"/>
      <c r="C153" s="982">
        <f t="shared" si="379" ref="C153:AY153">C205-C212</f>
        <v>16019</v>
      </c>
      <c r="D153" s="982">
        <f t="shared" si="379"/>
        <v>17147</v>
      </c>
      <c r="E153" s="982">
        <f t="shared" si="379"/>
        <v>19221</v>
      </c>
      <c r="F153" s="982">
        <f t="shared" si="379"/>
        <v>21062</v>
      </c>
      <c r="G153" s="982">
        <f t="shared" si="379"/>
        <v>19123</v>
      </c>
      <c r="H153" s="25">
        <f t="shared" si="379"/>
        <v>4536</v>
      </c>
      <c r="I153" s="25">
        <f t="shared" si="379"/>
        <v>4600</v>
      </c>
      <c r="J153" s="25">
        <f t="shared" si="379"/>
        <v>4662</v>
      </c>
      <c r="K153" s="25">
        <f t="shared" si="379"/>
        <v>4439</v>
      </c>
      <c r="L153" s="982">
        <f t="shared" si="379"/>
        <v>18237</v>
      </c>
      <c r="M153" s="25">
        <f t="shared" si="379"/>
        <v>4213</v>
      </c>
      <c r="N153" s="25">
        <f t="shared" si="379"/>
        <v>4413</v>
      </c>
      <c r="O153" s="25">
        <f t="shared" si="379"/>
        <v>4176</v>
      </c>
      <c r="P153" s="25">
        <f t="shared" si="379"/>
        <v>4208</v>
      </c>
      <c r="Q153" s="982">
        <f t="shared" si="379"/>
        <v>17010</v>
      </c>
      <c r="R153" s="25">
        <f t="shared" si="379"/>
        <v>4334</v>
      </c>
      <c r="S153" s="25">
        <f t="shared" si="379"/>
        <v>4603</v>
      </c>
      <c r="T153" s="25">
        <f t="shared" si="379"/>
        <v>4753</v>
      </c>
      <c r="U153" s="25">
        <f t="shared" si="379"/>
        <v>4802</v>
      </c>
      <c r="V153" s="982">
        <f t="shared" si="379"/>
        <v>18492</v>
      </c>
      <c r="W153" s="25">
        <f t="shared" si="379"/>
        <v>4411</v>
      </c>
      <c r="X153" s="25">
        <f t="shared" si="379"/>
        <v>4383</v>
      </c>
      <c r="Y153" s="25">
        <f t="shared" si="379"/>
        <v>4431</v>
      </c>
      <c r="Z153" s="25">
        <f t="shared" si="379"/>
        <v>4424</v>
      </c>
      <c r="AA153" s="982">
        <f t="shared" si="379"/>
        <v>17649</v>
      </c>
      <c r="AB153" s="25">
        <f t="shared" si="379"/>
        <v>4482</v>
      </c>
      <c r="AC153" s="25">
        <f t="shared" si="379"/>
        <v>4458</v>
      </c>
      <c r="AD153" s="25">
        <f t="shared" si="379"/>
        <v>4431</v>
      </c>
      <c r="AE153" s="25">
        <f t="shared" si="379"/>
        <v>4404</v>
      </c>
      <c r="AF153" s="982">
        <f t="shared" si="379"/>
        <v>17775</v>
      </c>
      <c r="AG153" s="25">
        <f t="shared" si="379"/>
        <v>4415</v>
      </c>
      <c r="AH153" s="25">
        <f t="shared" si="379"/>
        <v>4402</v>
      </c>
      <c r="AI153" s="25">
        <f t="shared" si="379"/>
        <v>4500</v>
      </c>
      <c r="AJ153" s="25">
        <f t="shared" si="379"/>
        <v>4545</v>
      </c>
      <c r="AK153" s="982">
        <f t="shared" si="379"/>
        <v>17862</v>
      </c>
      <c r="AL153" s="25">
        <f t="shared" si="379"/>
        <v>4442</v>
      </c>
      <c r="AM153" s="25">
        <f t="shared" si="379"/>
        <v>4337</v>
      </c>
      <c r="AN153" s="25">
        <f t="shared" si="379"/>
        <v>4512</v>
      </c>
      <c r="AO153" s="25">
        <f t="shared" si="379"/>
        <v>4697</v>
      </c>
      <c r="AP153" s="982">
        <f t="shared" si="379"/>
        <v>17988</v>
      </c>
      <c r="AQ153" s="25">
        <f t="shared" si="379"/>
        <v>4266</v>
      </c>
      <c r="AR153" s="25">
        <f t="shared" si="379"/>
        <v>4191</v>
      </c>
      <c r="AS153" s="25">
        <f t="shared" si="379"/>
        <v>4124</v>
      </c>
      <c r="AT153" s="25">
        <f t="shared" si="379"/>
        <v>4203</v>
      </c>
      <c r="AU153" s="982">
        <f t="shared" si="379"/>
        <v>16784</v>
      </c>
      <c r="AV153" s="25">
        <f t="shared" si="379"/>
        <v>3879</v>
      </c>
      <c r="AW153" s="25">
        <f t="shared" si="379"/>
        <v>3607</v>
      </c>
      <c r="AX153" s="25">
        <f t="shared" si="379"/>
        <v>3375</v>
      </c>
      <c r="AY153" s="25">
        <f t="shared" si="379"/>
        <v>3410</v>
      </c>
      <c r="AZ153" s="982">
        <f t="shared" si="380" ref="AZ153:BE153">AZ205-AZ212</f>
        <v>14271</v>
      </c>
      <c r="BA153" s="25">
        <f t="shared" si="380"/>
        <v>3458</v>
      </c>
      <c r="BB153" s="25">
        <f t="shared" si="380"/>
        <v>3347</v>
      </c>
      <c r="BC153" s="25">
        <f t="shared" si="380"/>
        <v>3145</v>
      </c>
      <c r="BD153" s="25">
        <f t="shared" si="380"/>
        <v>3489</v>
      </c>
      <c r="BE153" s="982">
        <f t="shared" si="380"/>
        <v>13439</v>
      </c>
      <c r="BF153" s="25">
        <f>BF205-BF212</f>
        <v>3266</v>
      </c>
      <c r="BG153" s="25">
        <f>BG205-BG212</f>
        <v>3119</v>
      </c>
      <c r="BH153" s="749">
        <f>BH205-BH212</f>
        <v>2857</v>
      </c>
      <c r="BI153" s="25"/>
      <c r="BJ153" s="982"/>
      <c r="BK153" s="25"/>
      <c r="BL153" s="25"/>
      <c r="BM153" s="25"/>
      <c r="BN153" s="25"/>
      <c r="BO153" s="982"/>
      <c r="BP153" s="982"/>
      <c r="BQ153" s="982"/>
      <c r="BR153" s="982"/>
      <c r="BS153" s="100"/>
    </row>
    <row r="154" spans="1:71" s="42" customFormat="1" ht="15" collapsed="1">
      <c r="A154" s="398"/>
      <c r="B154" s="393"/>
      <c r="C154" s="964"/>
      <c r="D154" s="964"/>
      <c r="E154" s="964"/>
      <c r="F154" s="964"/>
      <c r="G154" s="964"/>
      <c r="H154" s="395"/>
      <c r="I154" s="395"/>
      <c r="J154" s="395"/>
      <c r="K154" s="395"/>
      <c r="L154" s="964"/>
      <c r="M154" s="395"/>
      <c r="N154" s="395"/>
      <c r="O154" s="395"/>
      <c r="P154" s="395"/>
      <c r="Q154" s="964"/>
      <c r="R154" s="395"/>
      <c r="S154" s="395"/>
      <c r="T154" s="395"/>
      <c r="U154" s="395"/>
      <c r="V154" s="964"/>
      <c r="W154" s="395"/>
      <c r="X154" s="395"/>
      <c r="Y154" s="395"/>
      <c r="Z154" s="395"/>
      <c r="AA154" s="964"/>
      <c r="AB154" s="395"/>
      <c r="AC154" s="395"/>
      <c r="AD154" s="395"/>
      <c r="AE154" s="395"/>
      <c r="AF154" s="964"/>
      <c r="AG154" s="395"/>
      <c r="AH154" s="395"/>
      <c r="AI154" s="395"/>
      <c r="AJ154" s="395"/>
      <c r="AK154" s="964"/>
      <c r="AL154" s="395"/>
      <c r="AM154" s="395"/>
      <c r="AN154" s="395"/>
      <c r="AO154" s="395"/>
      <c r="AP154" s="964"/>
      <c r="AQ154" s="395"/>
      <c r="AR154" s="395"/>
      <c r="AS154" s="395"/>
      <c r="AT154" s="395"/>
      <c r="AU154" s="964"/>
      <c r="AV154" s="395"/>
      <c r="AW154" s="395"/>
      <c r="AX154" s="395"/>
      <c r="AY154" s="395"/>
      <c r="AZ154" s="964"/>
      <c r="BA154" s="395"/>
      <c r="BB154" s="395"/>
      <c r="BC154" s="395"/>
      <c r="BD154" s="395"/>
      <c r="BE154" s="964"/>
      <c r="BF154" s="395"/>
      <c r="BG154" s="395"/>
      <c r="BH154" s="737"/>
      <c r="BI154" s="395"/>
      <c r="BJ154" s="964"/>
      <c r="BK154" s="395"/>
      <c r="BL154" s="395"/>
      <c r="BM154" s="395"/>
      <c r="BN154" s="395"/>
      <c r="BO154" s="964"/>
      <c r="BP154" s="964"/>
      <c r="BQ154" s="964"/>
      <c r="BR154" s="964"/>
      <c r="BS154" s="91"/>
    </row>
    <row r="155" spans="1:71" s="43" customFormat="1" ht="15">
      <c r="A155" s="812" t="s">
        <v>437</v>
      </c>
      <c r="B155" s="812"/>
      <c r="C155" s="828"/>
      <c r="D155" s="828"/>
      <c r="E155" s="828"/>
      <c r="F155" s="828"/>
      <c r="G155" s="828"/>
      <c r="H155" s="828"/>
      <c r="I155" s="828"/>
      <c r="J155" s="828"/>
      <c r="K155" s="828"/>
      <c r="L155" s="828"/>
      <c r="M155" s="828"/>
      <c r="N155" s="828"/>
      <c r="O155" s="828"/>
      <c r="P155" s="828"/>
      <c r="Q155" s="828"/>
      <c r="R155" s="828"/>
      <c r="S155" s="828"/>
      <c r="T155" s="828"/>
      <c r="U155" s="828"/>
      <c r="V155" s="828"/>
      <c r="W155" s="828"/>
      <c r="X155" s="828"/>
      <c r="Y155" s="828"/>
      <c r="Z155" s="828"/>
      <c r="AA155" s="828"/>
      <c r="AB155" s="828"/>
      <c r="AC155" s="828"/>
      <c r="AD155" s="828"/>
      <c r="AE155" s="828"/>
      <c r="AF155" s="828"/>
      <c r="AG155" s="828"/>
      <c r="AH155" s="828"/>
      <c r="AI155" s="828"/>
      <c r="AJ155" s="828"/>
      <c r="AK155" s="828"/>
      <c r="AL155" s="828"/>
      <c r="AM155" s="828"/>
      <c r="AN155" s="828"/>
      <c r="AO155" s="828"/>
      <c r="AP155" s="828"/>
      <c r="AQ155" s="828"/>
      <c r="AR155" s="828"/>
      <c r="AS155" s="828"/>
      <c r="AT155" s="828"/>
      <c r="AU155" s="828"/>
      <c r="AV155" s="828"/>
      <c r="AW155" s="828"/>
      <c r="AX155" s="828"/>
      <c r="AY155" s="828"/>
      <c r="AZ155" s="828"/>
      <c r="BA155" s="828"/>
      <c r="BB155" s="828"/>
      <c r="BC155" s="828"/>
      <c r="BD155" s="828"/>
      <c r="BE155" s="828"/>
      <c r="BF155" s="828"/>
      <c r="BG155" s="828"/>
      <c r="BH155" s="829"/>
      <c r="BI155" s="828"/>
      <c r="BJ155" s="828"/>
      <c r="BK155" s="828"/>
      <c r="BL155" s="828"/>
      <c r="BM155" s="828"/>
      <c r="BN155" s="828"/>
      <c r="BO155" s="828"/>
      <c r="BP155" s="828"/>
      <c r="BQ155" s="828"/>
      <c r="BR155" s="828"/>
      <c r="BS155" s="475"/>
    </row>
    <row r="156" spans="1:71" s="224" customFormat="1" ht="15" hidden="1" outlineLevel="1">
      <c r="A156" s="362" t="s">
        <v>440</v>
      </c>
      <c r="B156" s="389"/>
      <c r="C156" s="992">
        <v>3946</v>
      </c>
      <c r="D156" s="992">
        <v>4016</v>
      </c>
      <c r="E156" s="992">
        <v>4254</v>
      </c>
      <c r="F156" s="992">
        <v>4349</v>
      </c>
      <c r="G156" s="992">
        <v>4524</v>
      </c>
      <c r="H156" s="176"/>
      <c r="I156" s="176"/>
      <c r="J156" s="176"/>
      <c r="K156" s="176"/>
      <c r="L156" s="992">
        <v>4526</v>
      </c>
      <c r="M156" s="176"/>
      <c r="N156" s="176"/>
      <c r="O156" s="176"/>
      <c r="P156" s="176"/>
      <c r="Q156" s="992">
        <v>4716</v>
      </c>
      <c r="R156" s="176"/>
      <c r="S156" s="176"/>
      <c r="T156" s="176"/>
      <c r="U156" s="176"/>
      <c r="V156" s="992">
        <v>4958</v>
      </c>
      <c r="W156" s="176"/>
      <c r="X156" s="176"/>
      <c r="Y156" s="176"/>
      <c r="Z156" s="176"/>
      <c r="AA156" s="992">
        <v>6081</v>
      </c>
      <c r="AB156" s="176"/>
      <c r="AC156" s="176"/>
      <c r="AD156" s="176"/>
      <c r="AE156" s="176"/>
      <c r="AF156" s="992">
        <v>6121</v>
      </c>
      <c r="AG156" s="176"/>
      <c r="AH156" s="176"/>
      <c r="AI156" s="176"/>
      <c r="AJ156" s="176"/>
      <c r="AK156" s="992">
        <v>6178</v>
      </c>
      <c r="AL156" s="176"/>
      <c r="AM156" s="176"/>
      <c r="AN156" s="176"/>
      <c r="AO156" s="176"/>
      <c r="AP156" s="992">
        <v>6239</v>
      </c>
      <c r="AQ156" s="176"/>
      <c r="AR156" s="176"/>
      <c r="AS156" s="176"/>
      <c r="AT156" s="176"/>
      <c r="AU156" s="992">
        <v>6492</v>
      </c>
      <c r="AV156" s="176"/>
      <c r="AW156" s="176"/>
      <c r="AX156" s="176"/>
      <c r="AY156" s="176"/>
      <c r="AZ156" s="992">
        <v>6996</v>
      </c>
      <c r="BA156" s="176"/>
      <c r="BB156" s="176"/>
      <c r="BC156" s="176"/>
      <c r="BD156" s="176"/>
      <c r="BE156" s="992">
        <v>6859</v>
      </c>
      <c r="BF156" s="176"/>
      <c r="BG156" s="176"/>
      <c r="BH156" s="551"/>
      <c r="BI156" s="176"/>
      <c r="BJ156" s="971"/>
      <c r="BK156" s="176"/>
      <c r="BL156" s="176"/>
      <c r="BM156" s="176"/>
      <c r="BN156" s="176"/>
      <c r="BO156" s="971"/>
      <c r="BP156" s="971"/>
      <c r="BQ156" s="971"/>
      <c r="BR156" s="971"/>
      <c r="BS156" s="229"/>
    </row>
    <row r="157" spans="1:71" s="224" customFormat="1" ht="15" hidden="1" outlineLevel="1">
      <c r="A157" s="362" t="s">
        <v>439</v>
      </c>
      <c r="B157" s="389"/>
      <c r="C157" s="992">
        <v>4111</v>
      </c>
      <c r="D157" s="992">
        <v>3903</v>
      </c>
      <c r="E157" s="992">
        <v>4030</v>
      </c>
      <c r="F157" s="992">
        <v>4324</v>
      </c>
      <c r="G157" s="992">
        <v>4335</v>
      </c>
      <c r="H157" s="176"/>
      <c r="I157" s="176"/>
      <c r="J157" s="176"/>
      <c r="K157" s="176"/>
      <c r="L157" s="992">
        <v>4709</v>
      </c>
      <c r="M157" s="176"/>
      <c r="N157" s="176"/>
      <c r="O157" s="176"/>
      <c r="P157" s="176"/>
      <c r="Q157" s="992">
        <v>4895</v>
      </c>
      <c r="R157" s="176"/>
      <c r="S157" s="176"/>
      <c r="T157" s="176"/>
      <c r="U157" s="176"/>
      <c r="V157" s="992">
        <v>4944</v>
      </c>
      <c r="W157" s="176"/>
      <c r="X157" s="176"/>
      <c r="Y157" s="176"/>
      <c r="Z157" s="176"/>
      <c r="AA157" s="992">
        <v>4864</v>
      </c>
      <c r="AB157" s="176"/>
      <c r="AC157" s="176"/>
      <c r="AD157" s="176"/>
      <c r="AE157" s="176"/>
      <c r="AF157" s="992">
        <v>4712</v>
      </c>
      <c r="AG157" s="176"/>
      <c r="AH157" s="176"/>
      <c r="AI157" s="176"/>
      <c r="AJ157" s="176"/>
      <c r="AK157" s="992">
        <v>4799</v>
      </c>
      <c r="AL157" s="176"/>
      <c r="AM157" s="176"/>
      <c r="AN157" s="176"/>
      <c r="AO157" s="176"/>
      <c r="AP157" s="992">
        <v>4906</v>
      </c>
      <c r="AQ157" s="176"/>
      <c r="AR157" s="176"/>
      <c r="AS157" s="176"/>
      <c r="AT157" s="176"/>
      <c r="AU157" s="992">
        <v>4851</v>
      </c>
      <c r="AV157" s="176"/>
      <c r="AW157" s="176"/>
      <c r="AX157" s="176"/>
      <c r="AY157" s="176"/>
      <c r="AZ157" s="992">
        <v>4839</v>
      </c>
      <c r="BA157" s="176"/>
      <c r="BB157" s="176"/>
      <c r="BC157" s="176"/>
      <c r="BD157" s="176"/>
      <c r="BE157" s="992">
        <v>4968</v>
      </c>
      <c r="BF157" s="176"/>
      <c r="BG157" s="176"/>
      <c r="BH157" s="551"/>
      <c r="BI157" s="176"/>
      <c r="BJ157" s="971"/>
      <c r="BK157" s="176"/>
      <c r="BL157" s="176"/>
      <c r="BM157" s="176"/>
      <c r="BN157" s="176"/>
      <c r="BO157" s="971"/>
      <c r="BP157" s="971"/>
      <c r="BQ157" s="971"/>
      <c r="BR157" s="971"/>
      <c r="BS157" s="229"/>
    </row>
    <row r="158" spans="1:71" s="224" customFormat="1" ht="15" hidden="1" outlineLevel="1">
      <c r="A158" s="362" t="s">
        <v>441</v>
      </c>
      <c r="B158" s="389"/>
      <c r="C158" s="992">
        <v>292</v>
      </c>
      <c r="D158" s="992">
        <v>292</v>
      </c>
      <c r="E158" s="992">
        <v>278</v>
      </c>
      <c r="F158" s="992">
        <v>292</v>
      </c>
      <c r="G158" s="992">
        <v>282</v>
      </c>
      <c r="H158" s="176"/>
      <c r="I158" s="176"/>
      <c r="J158" s="176"/>
      <c r="K158" s="176"/>
      <c r="L158" s="992">
        <v>290</v>
      </c>
      <c r="M158" s="176"/>
      <c r="N158" s="176"/>
      <c r="O158" s="176"/>
      <c r="P158" s="176"/>
      <c r="Q158" s="992">
        <v>304</v>
      </c>
      <c r="R158" s="176"/>
      <c r="S158" s="176"/>
      <c r="T158" s="176"/>
      <c r="U158" s="176"/>
      <c r="V158" s="992">
        <v>310</v>
      </c>
      <c r="W158" s="176"/>
      <c r="X158" s="176"/>
      <c r="Y158" s="176"/>
      <c r="Z158" s="176"/>
      <c r="AA158" s="992">
        <v>373</v>
      </c>
      <c r="AB158" s="176"/>
      <c r="AC158" s="176"/>
      <c r="AD158" s="176"/>
      <c r="AE158" s="176"/>
      <c r="AF158" s="992">
        <v>557</v>
      </c>
      <c r="AG158" s="176"/>
      <c r="AH158" s="176"/>
      <c r="AI158" s="176"/>
      <c r="AJ158" s="176"/>
      <c r="AK158" s="992">
        <v>752</v>
      </c>
      <c r="AL158" s="176"/>
      <c r="AM158" s="176"/>
      <c r="AN158" s="176"/>
      <c r="AO158" s="176"/>
      <c r="AP158" s="992">
        <v>858</v>
      </c>
      <c r="AQ158" s="176"/>
      <c r="AR158" s="176"/>
      <c r="AS158" s="176"/>
      <c r="AT158" s="176"/>
      <c r="AU158" s="992">
        <v>1104</v>
      </c>
      <c r="AV158" s="176"/>
      <c r="AW158" s="176"/>
      <c r="AX158" s="176"/>
      <c r="AY158" s="176"/>
      <c r="AZ158" s="992">
        <v>1047</v>
      </c>
      <c r="BA158" s="176"/>
      <c r="BB158" s="176"/>
      <c r="BC158" s="176"/>
      <c r="BD158" s="176"/>
      <c r="BE158" s="984">
        <v>958</v>
      </c>
      <c r="BF158" s="176"/>
      <c r="BG158" s="176"/>
      <c r="BH158" s="551"/>
      <c r="BI158" s="176"/>
      <c r="BJ158" s="971"/>
      <c r="BK158" s="176"/>
      <c r="BL158" s="176"/>
      <c r="BM158" s="176"/>
      <c r="BN158" s="176"/>
      <c r="BO158" s="971"/>
      <c r="BP158" s="971"/>
      <c r="BQ158" s="971"/>
      <c r="BR158" s="971"/>
      <c r="BS158" s="229"/>
    </row>
    <row r="159" spans="1:71" s="44" customFormat="1" ht="15" hidden="1" outlineLevel="1">
      <c r="A159" s="366" t="s">
        <v>438</v>
      </c>
      <c r="B159" s="386"/>
      <c r="C159" s="982">
        <f t="shared" si="381" ref="C159">C156+C157+C158</f>
        <v>8349</v>
      </c>
      <c r="D159" s="982">
        <f t="shared" si="382" ref="D159">D156+D157+D158</f>
        <v>8211</v>
      </c>
      <c r="E159" s="982">
        <f t="shared" si="383" ref="E159">E156+E157+E158</f>
        <v>8562</v>
      </c>
      <c r="F159" s="982">
        <f t="shared" si="384" ref="F159">F156+F157+F158</f>
        <v>8965</v>
      </c>
      <c r="G159" s="982">
        <f t="shared" si="385" ref="G159">G156+G157+G158</f>
        <v>9141</v>
      </c>
      <c r="H159" s="25"/>
      <c r="I159" s="25"/>
      <c r="J159" s="25"/>
      <c r="K159" s="25"/>
      <c r="L159" s="982">
        <f t="shared" si="386" ref="L159">L156+L157+L158</f>
        <v>9525</v>
      </c>
      <c r="M159" s="25"/>
      <c r="N159" s="25"/>
      <c r="O159" s="25"/>
      <c r="P159" s="25"/>
      <c r="Q159" s="982">
        <f t="shared" si="387" ref="Q159">Q156+Q157+Q158</f>
        <v>9915</v>
      </c>
      <c r="R159" s="25"/>
      <c r="S159" s="25"/>
      <c r="T159" s="25"/>
      <c r="U159" s="25"/>
      <c r="V159" s="982">
        <f t="shared" si="388" ref="V159">V156+V157+V158</f>
        <v>10212</v>
      </c>
      <c r="W159" s="25"/>
      <c r="X159" s="25"/>
      <c r="Y159" s="25"/>
      <c r="Z159" s="25"/>
      <c r="AA159" s="982">
        <f t="shared" si="389" ref="AA159">AA156+AA157+AA158</f>
        <v>11318</v>
      </c>
      <c r="AB159" s="25"/>
      <c r="AC159" s="25"/>
      <c r="AD159" s="25"/>
      <c r="AE159" s="25"/>
      <c r="AF159" s="982">
        <f t="shared" si="390" ref="AF159">AF156+AF157+AF158</f>
        <v>11390</v>
      </c>
      <c r="AG159" s="25"/>
      <c r="AH159" s="25"/>
      <c r="AI159" s="25"/>
      <c r="AJ159" s="25"/>
      <c r="AK159" s="982">
        <f t="shared" si="391" ref="AK159">AK156+AK157+AK158</f>
        <v>11729</v>
      </c>
      <c r="AL159" s="25"/>
      <c r="AM159" s="25"/>
      <c r="AN159" s="25"/>
      <c r="AO159" s="25"/>
      <c r="AP159" s="982">
        <f t="shared" si="392" ref="AP159">AP156+AP157+AP158</f>
        <v>12003</v>
      </c>
      <c r="AQ159" s="25"/>
      <c r="AR159" s="25"/>
      <c r="AS159" s="25"/>
      <c r="AT159" s="25"/>
      <c r="AU159" s="982">
        <f t="shared" si="393" ref="AU159">AU156+AU157+AU158</f>
        <v>12447</v>
      </c>
      <c r="AV159" s="25"/>
      <c r="AW159" s="25"/>
      <c r="AX159" s="25"/>
      <c r="AY159" s="25"/>
      <c r="AZ159" s="982">
        <f>AZ156+AZ157+AZ158</f>
        <v>12882</v>
      </c>
      <c r="BA159" s="25"/>
      <c r="BB159" s="25"/>
      <c r="BC159" s="25"/>
      <c r="BD159" s="25"/>
      <c r="BE159" s="978">
        <f>SUM(BE156:BE158)</f>
        <v>12785</v>
      </c>
      <c r="BF159" s="25"/>
      <c r="BG159" s="25"/>
      <c r="BH159" s="749"/>
      <c r="BI159" s="25"/>
      <c r="BJ159" s="982"/>
      <c r="BK159" s="25"/>
      <c r="BL159" s="25"/>
      <c r="BM159" s="25"/>
      <c r="BN159" s="25"/>
      <c r="BO159" s="982"/>
      <c r="BP159" s="982"/>
      <c r="BQ159" s="982"/>
      <c r="BR159" s="982"/>
      <c r="BS159" s="100"/>
    </row>
    <row r="160" spans="1:71" s="46" customFormat="1" ht="15" hidden="1" outlineLevel="1">
      <c r="A160" s="513" t="s">
        <v>442</v>
      </c>
      <c r="B160" s="396"/>
      <c r="C160" s="979"/>
      <c r="D160" s="979">
        <f>D159/C159-1</f>
        <v>-0.016528925619834656</v>
      </c>
      <c r="E160" s="979">
        <f t="shared" si="394" ref="E160:G160">E159/D159-1</f>
        <v>0.042747533796127168</v>
      </c>
      <c r="F160" s="979">
        <f t="shared" si="394"/>
        <v>0.047068441952814677</v>
      </c>
      <c r="G160" s="979">
        <f t="shared" si="394"/>
        <v>0.019631901840490906</v>
      </c>
      <c r="H160" s="644"/>
      <c r="I160" s="644"/>
      <c r="J160" s="644"/>
      <c r="K160" s="644"/>
      <c r="L160" s="979">
        <f>L159/G159-1</f>
        <v>0.042008532983262237</v>
      </c>
      <c r="M160" s="644"/>
      <c r="N160" s="644"/>
      <c r="O160" s="644"/>
      <c r="P160" s="644"/>
      <c r="Q160" s="979">
        <f t="shared" si="395" ref="Q160">Q159/L159-1</f>
        <v>0.040944881889763751</v>
      </c>
      <c r="R160" s="644"/>
      <c r="S160" s="644"/>
      <c r="T160" s="644"/>
      <c r="U160" s="644"/>
      <c r="V160" s="979">
        <f t="shared" si="396" ref="V160">V159/Q159-1</f>
        <v>0.029954614220877529</v>
      </c>
      <c r="W160" s="644"/>
      <c r="X160" s="644"/>
      <c r="Y160" s="644"/>
      <c r="Z160" s="644"/>
      <c r="AA160" s="979">
        <f t="shared" si="397" ref="AA160">AA159/V159-1</f>
        <v>0.10830395613004318</v>
      </c>
      <c r="AB160" s="644"/>
      <c r="AC160" s="644"/>
      <c r="AD160" s="644"/>
      <c r="AE160" s="644"/>
      <c r="AF160" s="979">
        <f t="shared" si="398" ref="AF160">AF159/AA159-1</f>
        <v>0.0063615479766743199</v>
      </c>
      <c r="AG160" s="644"/>
      <c r="AH160" s="644"/>
      <c r="AI160" s="644"/>
      <c r="AJ160" s="644"/>
      <c r="AK160" s="979">
        <f t="shared" si="399" ref="AK160">AK159/AF159-1</f>
        <v>0.029762949956101847</v>
      </c>
      <c r="AL160" s="644"/>
      <c r="AM160" s="644"/>
      <c r="AN160" s="644"/>
      <c r="AO160" s="644"/>
      <c r="AP160" s="979">
        <f t="shared" si="400" ref="AP160">AP159/AK159-1</f>
        <v>0.02336090033250926</v>
      </c>
      <c r="AQ160" s="644"/>
      <c r="AR160" s="644"/>
      <c r="AS160" s="644"/>
      <c r="AT160" s="644"/>
      <c r="AU160" s="979">
        <f t="shared" si="401" ref="AU160">AU159/AP159-1</f>
        <v>0.036990752311921948</v>
      </c>
      <c r="AV160" s="644"/>
      <c r="AW160" s="644"/>
      <c r="AX160" s="644"/>
      <c r="AY160" s="644"/>
      <c r="AZ160" s="979">
        <f>AZ159/AU159-1</f>
        <v>0.034948180284405828</v>
      </c>
      <c r="BA160" s="644"/>
      <c r="BB160" s="644"/>
      <c r="BC160" s="644"/>
      <c r="BD160" s="644"/>
      <c r="BE160" s="979">
        <f>BE159/AZ159-1</f>
        <v>-0.0075298866635615802</v>
      </c>
      <c r="BF160" s="644"/>
      <c r="BG160" s="644"/>
      <c r="BH160" s="744"/>
      <c r="BI160" s="644"/>
      <c r="BJ160" s="979"/>
      <c r="BK160" s="644"/>
      <c r="BL160" s="644"/>
      <c r="BM160" s="644"/>
      <c r="BN160" s="644"/>
      <c r="BO160" s="979"/>
      <c r="BP160" s="979"/>
      <c r="BQ160" s="979"/>
      <c r="BR160" s="979"/>
      <c r="BS160" s="93"/>
    </row>
    <row r="161" spans="1:71" s="42" customFormat="1" ht="15" collapsed="1">
      <c r="A161" s="398"/>
      <c r="B161" s="393"/>
      <c r="C161" s="964"/>
      <c r="D161" s="964"/>
      <c r="E161" s="964"/>
      <c r="F161" s="964"/>
      <c r="G161" s="964"/>
      <c r="H161" s="395"/>
      <c r="I161" s="395"/>
      <c r="J161" s="395"/>
      <c r="K161" s="395"/>
      <c r="L161" s="964"/>
      <c r="M161" s="395"/>
      <c r="N161" s="395"/>
      <c r="O161" s="395"/>
      <c r="P161" s="395"/>
      <c r="Q161" s="964"/>
      <c r="R161" s="395"/>
      <c r="S161" s="395"/>
      <c r="T161" s="395"/>
      <c r="U161" s="395"/>
      <c r="V161" s="964"/>
      <c r="W161" s="395"/>
      <c r="X161" s="395"/>
      <c r="Y161" s="395"/>
      <c r="Z161" s="395"/>
      <c r="AA161" s="964"/>
      <c r="AB161" s="395"/>
      <c r="AC161" s="395"/>
      <c r="AD161" s="395"/>
      <c r="AE161" s="395"/>
      <c r="AF161" s="964"/>
      <c r="AG161" s="395"/>
      <c r="AH161" s="395"/>
      <c r="AI161" s="395"/>
      <c r="AJ161" s="395"/>
      <c r="AK161" s="964"/>
      <c r="AL161" s="395"/>
      <c r="AM161" s="395"/>
      <c r="AN161" s="395"/>
      <c r="AO161" s="395"/>
      <c r="AP161" s="964"/>
      <c r="AQ161" s="395"/>
      <c r="AR161" s="395"/>
      <c r="AS161" s="395"/>
      <c r="AT161" s="395"/>
      <c r="AU161" s="964"/>
      <c r="AV161" s="395"/>
      <c r="AW161" s="395"/>
      <c r="AX161" s="395"/>
      <c r="AY161" s="395"/>
      <c r="AZ161" s="964"/>
      <c r="BA161" s="395"/>
      <c r="BB161" s="395"/>
      <c r="BC161" s="395"/>
      <c r="BD161" s="395"/>
      <c r="BE161" s="964"/>
      <c r="BF161" s="395"/>
      <c r="BG161" s="395"/>
      <c r="BH161" s="737"/>
      <c r="BI161" s="395"/>
      <c r="BJ161" s="964"/>
      <c r="BK161" s="395"/>
      <c r="BL161" s="395"/>
      <c r="BM161" s="395"/>
      <c r="BN161" s="395"/>
      <c r="BO161" s="964"/>
      <c r="BP161" s="964"/>
      <c r="BQ161" s="964"/>
      <c r="BR161" s="964"/>
      <c r="BS161" s="91"/>
    </row>
    <row r="162" spans="1:71" s="43" customFormat="1" ht="15">
      <c r="A162" s="812" t="s">
        <v>23</v>
      </c>
      <c r="B162" s="812"/>
      <c r="C162" s="828"/>
      <c r="D162" s="828"/>
      <c r="E162" s="828"/>
      <c r="F162" s="828"/>
      <c r="G162" s="828"/>
      <c r="H162" s="828"/>
      <c r="I162" s="828"/>
      <c r="J162" s="828"/>
      <c r="K162" s="828"/>
      <c r="L162" s="828"/>
      <c r="M162" s="828"/>
      <c r="N162" s="828"/>
      <c r="O162" s="828"/>
      <c r="P162" s="828"/>
      <c r="Q162" s="828"/>
      <c r="R162" s="828"/>
      <c r="S162" s="828"/>
      <c r="T162" s="828"/>
      <c r="U162" s="828"/>
      <c r="V162" s="828"/>
      <c r="W162" s="828"/>
      <c r="X162" s="828"/>
      <c r="Y162" s="828"/>
      <c r="Z162" s="828"/>
      <c r="AA162" s="828"/>
      <c r="AB162" s="828"/>
      <c r="AC162" s="828"/>
      <c r="AD162" s="828"/>
      <c r="AE162" s="828"/>
      <c r="AF162" s="828"/>
      <c r="AG162" s="828"/>
      <c r="AH162" s="828"/>
      <c r="AI162" s="828"/>
      <c r="AJ162" s="828"/>
      <c r="AK162" s="828"/>
      <c r="AL162" s="828"/>
      <c r="AM162" s="828"/>
      <c r="AN162" s="828"/>
      <c r="AO162" s="828"/>
      <c r="AP162" s="828"/>
      <c r="AQ162" s="828"/>
      <c r="AR162" s="828"/>
      <c r="AS162" s="828"/>
      <c r="AT162" s="828"/>
      <c r="AU162" s="828"/>
      <c r="AV162" s="828"/>
      <c r="AW162" s="828"/>
      <c r="AX162" s="828"/>
      <c r="AY162" s="828"/>
      <c r="AZ162" s="828"/>
      <c r="BA162" s="828"/>
      <c r="BB162" s="828"/>
      <c r="BC162" s="828"/>
      <c r="BD162" s="828"/>
      <c r="BE162" s="828"/>
      <c r="BF162" s="828"/>
      <c r="BG162" s="828"/>
      <c r="BH162" s="829"/>
      <c r="BI162" s="828"/>
      <c r="BJ162" s="828"/>
      <c r="BK162" s="828"/>
      <c r="BL162" s="828"/>
      <c r="BM162" s="828"/>
      <c r="BN162" s="828"/>
      <c r="BO162" s="828"/>
      <c r="BP162" s="828"/>
      <c r="BQ162" s="828"/>
      <c r="BR162" s="828"/>
      <c r="BS162" s="475"/>
    </row>
    <row r="163" spans="1:71" s="224" customFormat="1" ht="15" hidden="1" outlineLevel="1">
      <c r="A163" s="65" t="s">
        <v>24</v>
      </c>
      <c r="B163" s="362"/>
      <c r="C163" s="1002">
        <v>16621</v>
      </c>
      <c r="D163" s="1002">
        <v>18073</v>
      </c>
      <c r="E163" s="1002">
        <v>20362</v>
      </c>
      <c r="F163" s="1002">
        <v>22148</v>
      </c>
      <c r="G163" s="1002">
        <v>20135</v>
      </c>
      <c r="H163" s="908">
        <v>4854</v>
      </c>
      <c r="I163" s="908">
        <v>4888</v>
      </c>
      <c r="J163" s="908">
        <v>4841</v>
      </c>
      <c r="K163" s="908">
        <v>4489</v>
      </c>
      <c r="L163" s="1002">
        <v>19072</v>
      </c>
      <c r="M163" s="908">
        <v>4432</v>
      </c>
      <c r="N163" s="908">
        <v>4364</v>
      </c>
      <c r="O163" s="908">
        <v>4380</v>
      </c>
      <c r="P163" s="908">
        <v>4394</v>
      </c>
      <c r="Q163" s="1002">
        <v>17570</v>
      </c>
      <c r="R163" s="908">
        <v>4602</v>
      </c>
      <c r="S163" s="908">
        <v>4823</v>
      </c>
      <c r="T163" s="908">
        <v>5022</v>
      </c>
      <c r="U163" s="908">
        <v>4778</v>
      </c>
      <c r="V163" s="1002">
        <v>19225</v>
      </c>
      <c r="W163" s="908">
        <v>4638</v>
      </c>
      <c r="X163" s="908">
        <v>4665</v>
      </c>
      <c r="Y163" s="908">
        <v>4648</v>
      </c>
      <c r="Z163" s="139">
        <f>AA163-Y163-X163-W163</f>
        <v>4580</v>
      </c>
      <c r="AA163" s="1002">
        <v>18531</v>
      </c>
      <c r="AB163" s="908">
        <v>4745</v>
      </c>
      <c r="AC163" s="908">
        <v>4706</v>
      </c>
      <c r="AD163" s="908">
        <v>4636</v>
      </c>
      <c r="AE163" s="139">
        <f>AF163-AD163-AC163-AB163</f>
        <v>4590</v>
      </c>
      <c r="AF163" s="1002">
        <v>18677</v>
      </c>
      <c r="AG163" s="908">
        <v>4691</v>
      </c>
      <c r="AH163" s="908">
        <v>4681</v>
      </c>
      <c r="AI163" s="908">
        <v>4736</v>
      </c>
      <c r="AJ163" s="139">
        <f>AK163-AI163-AH163-AG163</f>
        <v>4672</v>
      </c>
      <c r="AK163" s="1002">
        <v>18780</v>
      </c>
      <c r="AL163" s="908">
        <v>4681</v>
      </c>
      <c r="AM163" s="908">
        <v>4664</v>
      </c>
      <c r="AN163" s="908">
        <v>4623</v>
      </c>
      <c r="AO163" s="139">
        <f>AP163-AN163-AM163-AL163</f>
        <v>4654</v>
      </c>
      <c r="AP163" s="1002">
        <v>18622</v>
      </c>
      <c r="AQ163" s="908">
        <v>4593</v>
      </c>
      <c r="AR163" s="908">
        <v>4441</v>
      </c>
      <c r="AS163" s="908">
        <v>4372</v>
      </c>
      <c r="AT163" s="139">
        <f>AU163-AS163-AR163-AQ163</f>
        <v>4241</v>
      </c>
      <c r="AU163" s="1002">
        <v>17647</v>
      </c>
      <c r="AV163" s="908">
        <v>4079</v>
      </c>
      <c r="AW163" s="908">
        <v>3764</v>
      </c>
      <c r="AX163" s="908">
        <v>3535</v>
      </c>
      <c r="AY163" s="139">
        <f>AZ163-AX163-AW163-AV163</f>
        <v>3523</v>
      </c>
      <c r="AZ163" s="1002">
        <v>14901</v>
      </c>
      <c r="BA163" s="908">
        <v>3688</v>
      </c>
      <c r="BB163" s="908">
        <v>3573</v>
      </c>
      <c r="BC163" s="908">
        <v>3476</v>
      </c>
      <c r="BD163" s="139">
        <f>BE163-BC163-BB163-BA163</f>
        <v>3386</v>
      </c>
      <c r="BE163" s="1002">
        <v>14123</v>
      </c>
      <c r="BF163" s="908">
        <v>3456</v>
      </c>
      <c r="BG163" s="908">
        <v>3325</v>
      </c>
      <c r="BH163" s="909">
        <v>3328</v>
      </c>
      <c r="BI163" s="176"/>
      <c r="BJ163" s="971"/>
      <c r="BK163" s="176"/>
      <c r="BL163" s="176"/>
      <c r="BM163" s="176"/>
      <c r="BN163" s="176"/>
      <c r="BO163" s="971"/>
      <c r="BP163" s="971"/>
      <c r="BQ163" s="971"/>
      <c r="BR163" s="971"/>
      <c r="BS163" s="113"/>
    </row>
    <row r="164" spans="1:71" s="224" customFormat="1" ht="15" hidden="1" outlineLevel="1">
      <c r="A164" s="424" t="s">
        <v>25</v>
      </c>
      <c r="B164" s="362"/>
      <c r="C164" s="1002">
        <v>2765</v>
      </c>
      <c r="D164" s="1002">
        <v>3007</v>
      </c>
      <c r="E164" s="1002">
        <v>3280</v>
      </c>
      <c r="F164" s="1002">
        <v>3473</v>
      </c>
      <c r="G164" s="1002">
        <v>3293</v>
      </c>
      <c r="H164" s="908">
        <v>827</v>
      </c>
      <c r="I164" s="908">
        <v>843</v>
      </c>
      <c r="J164" s="908">
        <v>841</v>
      </c>
      <c r="K164" s="908">
        <v>808</v>
      </c>
      <c r="L164" s="1002">
        <v>3319</v>
      </c>
      <c r="M164" s="908">
        <v>782</v>
      </c>
      <c r="N164" s="908">
        <v>777</v>
      </c>
      <c r="O164" s="908">
        <v>784</v>
      </c>
      <c r="P164" s="908">
        <v>792</v>
      </c>
      <c r="Q164" s="1002">
        <v>3135</v>
      </c>
      <c r="R164" s="908">
        <v>801</v>
      </c>
      <c r="S164" s="908">
        <v>822</v>
      </c>
      <c r="T164" s="908">
        <v>842</v>
      </c>
      <c r="U164" s="908">
        <v>813</v>
      </c>
      <c r="V164" s="1002">
        <v>3278</v>
      </c>
      <c r="W164" s="908">
        <v>794</v>
      </c>
      <c r="X164" s="908">
        <v>802</v>
      </c>
      <c r="Y164" s="908">
        <v>811</v>
      </c>
      <c r="Z164" s="139">
        <f>AA164-Y164-X164-W164</f>
        <v>813</v>
      </c>
      <c r="AA164" s="1002">
        <v>3220</v>
      </c>
      <c r="AB164" s="908">
        <v>837</v>
      </c>
      <c r="AC164" s="908">
        <v>862</v>
      </c>
      <c r="AD164" s="908">
        <v>870</v>
      </c>
      <c r="AE164" s="139">
        <f>AF164-AD164-AC164-AB164</f>
        <v>873</v>
      </c>
      <c r="AF164" s="1002">
        <v>3442</v>
      </c>
      <c r="AG164" s="908">
        <v>878</v>
      </c>
      <c r="AH164" s="908">
        <v>878</v>
      </c>
      <c r="AI164" s="908">
        <v>936</v>
      </c>
      <c r="AJ164" s="139">
        <f>AK164-AI164-AH164-AG164</f>
        <v>886</v>
      </c>
      <c r="AK164" s="1002">
        <v>3578</v>
      </c>
      <c r="AL164" s="908">
        <v>904</v>
      </c>
      <c r="AM164" s="908">
        <v>870</v>
      </c>
      <c r="AN164" s="908">
        <v>896</v>
      </c>
      <c r="AO164" s="139">
        <f>AP164-AN164-AM164-AL164</f>
        <v>968</v>
      </c>
      <c r="AP164" s="1002">
        <v>3638</v>
      </c>
      <c r="AQ164" s="908">
        <v>925</v>
      </c>
      <c r="AR164" s="908">
        <v>993</v>
      </c>
      <c r="AS164" s="908">
        <v>991</v>
      </c>
      <c r="AT164" s="139">
        <f>AU164-AS164-AR164-AQ164</f>
        <v>909</v>
      </c>
      <c r="AU164" s="1002">
        <v>3818</v>
      </c>
      <c r="AV164" s="908">
        <v>903</v>
      </c>
      <c r="AW164" s="908">
        <v>937</v>
      </c>
      <c r="AX164" s="908">
        <v>920</v>
      </c>
      <c r="AY164" s="139">
        <f>AZ164-AX164-AW164-AV164</f>
        <v>896</v>
      </c>
      <c r="AZ164" s="1002">
        <v>3656</v>
      </c>
      <c r="BA164" s="908">
        <v>943</v>
      </c>
      <c r="BB164" s="908">
        <v>999</v>
      </c>
      <c r="BC164" s="908">
        <v>1004</v>
      </c>
      <c r="BD164" s="139">
        <f>BE164-BC164-BB164-BA164</f>
        <v>865</v>
      </c>
      <c r="BE164" s="1002">
        <v>3811</v>
      </c>
      <c r="BF164" s="908">
        <v>1000</v>
      </c>
      <c r="BG164" s="908">
        <v>1095</v>
      </c>
      <c r="BH164" s="909">
        <v>1006</v>
      </c>
      <c r="BI164" s="176"/>
      <c r="BJ164" s="971"/>
      <c r="BK164" s="176"/>
      <c r="BL164" s="176"/>
      <c r="BM164" s="176"/>
      <c r="BN164" s="176"/>
      <c r="BO164" s="971"/>
      <c r="BP164" s="971"/>
      <c r="BQ164" s="971"/>
      <c r="BR164" s="971"/>
      <c r="BS164" s="113"/>
    </row>
    <row r="165" spans="1:71" s="224" customFormat="1" ht="15" hidden="1" outlineLevel="1">
      <c r="A165" s="425" t="s">
        <v>26</v>
      </c>
      <c r="B165" s="362"/>
      <c r="C165" s="1002">
        <v>-1387</v>
      </c>
      <c r="D165" s="1002">
        <v>-459</v>
      </c>
      <c r="E165" s="1002">
        <v>-1901</v>
      </c>
      <c r="F165" s="1002">
        <v>-977</v>
      </c>
      <c r="G165" s="1002">
        <v>-199</v>
      </c>
      <c r="H165" s="908">
        <v>-3</v>
      </c>
      <c r="I165" s="908">
        <v>-28</v>
      </c>
      <c r="J165" s="908">
        <v>0</v>
      </c>
      <c r="K165" s="908">
        <v>0</v>
      </c>
      <c r="L165" s="1002">
        <v>-31</v>
      </c>
      <c r="M165" s="908">
        <v>-6</v>
      </c>
      <c r="N165" s="908">
        <v>0</v>
      </c>
      <c r="O165" s="908">
        <v>-137</v>
      </c>
      <c r="P165" s="908">
        <v>-10</v>
      </c>
      <c r="Q165" s="1002">
        <v>-153</v>
      </c>
      <c r="R165" s="908">
        <v>-14</v>
      </c>
      <c r="S165" s="908">
        <v>-33</v>
      </c>
      <c r="T165" s="908">
        <v>-22</v>
      </c>
      <c r="U165" s="908">
        <v>-14</v>
      </c>
      <c r="V165" s="1002">
        <v>-83</v>
      </c>
      <c r="W165" s="908">
        <v>-10</v>
      </c>
      <c r="X165" s="908">
        <v>-9</v>
      </c>
      <c r="Y165" s="908">
        <v>-8</v>
      </c>
      <c r="Z165" s="139">
        <f>AA165-Y165-X165-W165</f>
        <v>-10</v>
      </c>
      <c r="AA165" s="1002">
        <v>-37</v>
      </c>
      <c r="AB165" s="908">
        <v>-7</v>
      </c>
      <c r="AC165" s="908">
        <v>-5</v>
      </c>
      <c r="AD165" s="908">
        <v>-5</v>
      </c>
      <c r="AE165" s="139">
        <f>AF165-AD165-AC165-AB165</f>
        <v>-64</v>
      </c>
      <c r="AF165" s="1002">
        <v>-81</v>
      </c>
      <c r="AG165" s="908">
        <v>-2</v>
      </c>
      <c r="AH165" s="908">
        <v>-2</v>
      </c>
      <c r="AI165" s="908">
        <v>-18</v>
      </c>
      <c r="AJ165" s="139">
        <f>AK165-AI165-AH165-AG165</f>
        <v>-9</v>
      </c>
      <c r="AK165" s="1002">
        <v>-31</v>
      </c>
      <c r="AL165" s="139"/>
      <c r="AM165" s="139"/>
      <c r="AN165" s="139"/>
      <c r="AO165" s="139">
        <f>AP165-AN165-AM165-AL165</f>
        <v>0</v>
      </c>
      <c r="AP165" s="1003"/>
      <c r="AQ165" s="139"/>
      <c r="AR165" s="139"/>
      <c r="AS165" s="139"/>
      <c r="AT165" s="139">
        <f>AU165-AS165-AR165-AQ165</f>
        <v>0</v>
      </c>
      <c r="AU165" s="1003"/>
      <c r="AV165" s="139"/>
      <c r="AW165" s="139"/>
      <c r="AX165" s="139"/>
      <c r="AY165" s="139">
        <f>AZ165-AX165-AW165-AV165</f>
        <v>0</v>
      </c>
      <c r="AZ165" s="1003"/>
      <c r="BA165" s="139"/>
      <c r="BB165" s="139"/>
      <c r="BC165" s="139"/>
      <c r="BD165" s="139">
        <f>BE165-BC165-BB165-BA165</f>
        <v>0</v>
      </c>
      <c r="BE165" s="1003"/>
      <c r="BF165" s="139"/>
      <c r="BG165" s="139"/>
      <c r="BH165" s="750"/>
      <c r="BI165" s="176"/>
      <c r="BJ165" s="971"/>
      <c r="BK165" s="176"/>
      <c r="BL165" s="176"/>
      <c r="BM165" s="176"/>
      <c r="BN165" s="176"/>
      <c r="BO165" s="971"/>
      <c r="BP165" s="971"/>
      <c r="BQ165" s="971"/>
      <c r="BR165" s="971"/>
      <c r="BS165" s="113"/>
    </row>
    <row r="166" spans="1:71" s="224" customFormat="1" ht="15" hidden="1" outlineLevel="1">
      <c r="A166" s="427" t="s">
        <v>27</v>
      </c>
      <c r="B166" s="364"/>
      <c r="C166" s="1004">
        <v>26</v>
      </c>
      <c r="D166" s="1005"/>
      <c r="E166" s="1005"/>
      <c r="F166" s="1005"/>
      <c r="G166" s="1005"/>
      <c r="H166" s="347"/>
      <c r="I166" s="347"/>
      <c r="J166" s="347"/>
      <c r="K166" s="911">
        <v>0</v>
      </c>
      <c r="L166" s="1005"/>
      <c r="M166" s="347"/>
      <c r="N166" s="347"/>
      <c r="O166" s="347"/>
      <c r="P166" s="911">
        <v>0</v>
      </c>
      <c r="Q166" s="1005"/>
      <c r="R166" s="347"/>
      <c r="S166" s="347"/>
      <c r="T166" s="347"/>
      <c r="U166" s="911">
        <v>0</v>
      </c>
      <c r="V166" s="1005"/>
      <c r="W166" s="347"/>
      <c r="X166" s="347"/>
      <c r="Y166" s="347"/>
      <c r="Z166" s="347">
        <f>AA166-Y166-X166-W166</f>
        <v>0</v>
      </c>
      <c r="AA166" s="1005"/>
      <c r="AB166" s="347"/>
      <c r="AC166" s="347"/>
      <c r="AD166" s="347"/>
      <c r="AE166" s="347">
        <f>AF166-AD166-AC166-AB166</f>
        <v>0</v>
      </c>
      <c r="AF166" s="1005"/>
      <c r="AG166" s="347"/>
      <c r="AH166" s="347"/>
      <c r="AI166" s="347"/>
      <c r="AJ166" s="347">
        <f>AK166-AI166-AH166-AG166</f>
        <v>0</v>
      </c>
      <c r="AK166" s="1005"/>
      <c r="AL166" s="347"/>
      <c r="AM166" s="347"/>
      <c r="AN166" s="347"/>
      <c r="AO166" s="347">
        <f>AP166-AN166-AM166-AL166</f>
        <v>0</v>
      </c>
      <c r="AP166" s="1005"/>
      <c r="AQ166" s="347"/>
      <c r="AR166" s="347"/>
      <c r="AS166" s="347"/>
      <c r="AT166" s="347">
        <f>AU166-AS166-AR166-AQ166</f>
        <v>0</v>
      </c>
      <c r="AU166" s="1005"/>
      <c r="AV166" s="347"/>
      <c r="AW166" s="347"/>
      <c r="AX166" s="347"/>
      <c r="AY166" s="347">
        <f>AZ166-AX166-AW166-AV166</f>
        <v>0</v>
      </c>
      <c r="AZ166" s="1005"/>
      <c r="BA166" s="347"/>
      <c r="BB166" s="347"/>
      <c r="BC166" s="347"/>
      <c r="BD166" s="347">
        <f>BE166-BC166-BB166-BA166</f>
        <v>0</v>
      </c>
      <c r="BE166" s="1003"/>
      <c r="BF166" s="347"/>
      <c r="BG166" s="347"/>
      <c r="BH166" s="751"/>
      <c r="BI166" s="177"/>
      <c r="BJ166" s="973"/>
      <c r="BK166" s="177"/>
      <c r="BL166" s="177"/>
      <c r="BM166" s="177"/>
      <c r="BN166" s="177"/>
      <c r="BO166" s="973"/>
      <c r="BP166" s="973"/>
      <c r="BQ166" s="973"/>
      <c r="BR166" s="973"/>
      <c r="BS166" s="113"/>
    </row>
    <row r="167" spans="1:71" s="224" customFormat="1" ht="15" hidden="1" outlineLevel="1">
      <c r="A167" s="66" t="s">
        <v>28</v>
      </c>
      <c r="B167" s="495"/>
      <c r="C167" s="1006">
        <f t="shared" si="402" ref="C167:AN167">+SUM(C165:C166)</f>
        <v>-1361</v>
      </c>
      <c r="D167" s="1006">
        <f t="shared" si="402"/>
        <v>-459</v>
      </c>
      <c r="E167" s="1006">
        <f t="shared" si="402"/>
        <v>-1901</v>
      </c>
      <c r="F167" s="1006">
        <f t="shared" si="402"/>
        <v>-977</v>
      </c>
      <c r="G167" s="1006">
        <f t="shared" si="402"/>
        <v>-199</v>
      </c>
      <c r="H167" s="615">
        <f t="shared" si="402"/>
        <v>-3</v>
      </c>
      <c r="I167" s="615">
        <f t="shared" si="402"/>
        <v>-28</v>
      </c>
      <c r="J167" s="615">
        <f t="shared" si="402"/>
        <v>0</v>
      </c>
      <c r="K167" s="615">
        <f t="shared" si="402"/>
        <v>0</v>
      </c>
      <c r="L167" s="1006">
        <f t="shared" si="402"/>
        <v>-31</v>
      </c>
      <c r="M167" s="615">
        <f t="shared" si="402"/>
        <v>-6</v>
      </c>
      <c r="N167" s="615">
        <f t="shared" si="402"/>
        <v>0</v>
      </c>
      <c r="O167" s="615">
        <f t="shared" si="402"/>
        <v>-137</v>
      </c>
      <c r="P167" s="615">
        <f t="shared" si="402"/>
        <v>-10</v>
      </c>
      <c r="Q167" s="1006">
        <f t="shared" si="402"/>
        <v>-153</v>
      </c>
      <c r="R167" s="615">
        <f t="shared" si="402"/>
        <v>-14</v>
      </c>
      <c r="S167" s="615">
        <f t="shared" si="402"/>
        <v>-33</v>
      </c>
      <c r="T167" s="615">
        <f t="shared" si="402"/>
        <v>-22</v>
      </c>
      <c r="U167" s="615">
        <f t="shared" si="402"/>
        <v>-14</v>
      </c>
      <c r="V167" s="1006">
        <f t="shared" si="402"/>
        <v>-83</v>
      </c>
      <c r="W167" s="615">
        <f t="shared" si="402"/>
        <v>-10</v>
      </c>
      <c r="X167" s="615">
        <f t="shared" si="402"/>
        <v>-9</v>
      </c>
      <c r="Y167" s="615">
        <f t="shared" si="402"/>
        <v>-8</v>
      </c>
      <c r="Z167" s="615">
        <f t="shared" si="402"/>
        <v>-10</v>
      </c>
      <c r="AA167" s="1006">
        <f t="shared" si="402"/>
        <v>-37</v>
      </c>
      <c r="AB167" s="615">
        <f t="shared" si="402"/>
        <v>-7</v>
      </c>
      <c r="AC167" s="615">
        <f t="shared" si="402"/>
        <v>-5</v>
      </c>
      <c r="AD167" s="615">
        <f t="shared" si="402"/>
        <v>-5</v>
      </c>
      <c r="AE167" s="615">
        <f t="shared" si="402"/>
        <v>-64</v>
      </c>
      <c r="AF167" s="1006">
        <f t="shared" si="402"/>
        <v>-81</v>
      </c>
      <c r="AG167" s="615">
        <f t="shared" si="402"/>
        <v>-2</v>
      </c>
      <c r="AH167" s="615">
        <f t="shared" si="402"/>
        <v>-2</v>
      </c>
      <c r="AI167" s="615">
        <f t="shared" si="402"/>
        <v>-18</v>
      </c>
      <c r="AJ167" s="615">
        <f t="shared" si="402"/>
        <v>-9</v>
      </c>
      <c r="AK167" s="1006">
        <f t="shared" si="402"/>
        <v>-31</v>
      </c>
      <c r="AL167" s="615">
        <f t="shared" si="402"/>
        <v>0</v>
      </c>
      <c r="AM167" s="615">
        <f t="shared" si="402"/>
        <v>0</v>
      </c>
      <c r="AN167" s="615">
        <f t="shared" si="402"/>
        <v>0</v>
      </c>
      <c r="AO167" s="615">
        <f t="shared" si="403" ref="AO167:AP167">+SUM(AO165:AO166)</f>
        <v>0</v>
      </c>
      <c r="AP167" s="1006">
        <f t="shared" si="403"/>
        <v>0</v>
      </c>
      <c r="AQ167" s="615">
        <f t="shared" si="404" ref="AQ167">+SUM(AQ165:AQ166)</f>
        <v>0</v>
      </c>
      <c r="AR167" s="615">
        <f t="shared" si="405" ref="AR167:AW167">+SUM(AR165:AR166)</f>
        <v>0</v>
      </c>
      <c r="AS167" s="615">
        <f t="shared" si="405"/>
        <v>0</v>
      </c>
      <c r="AT167" s="615">
        <f t="shared" si="405"/>
        <v>0</v>
      </c>
      <c r="AU167" s="1006">
        <f t="shared" si="405"/>
        <v>0</v>
      </c>
      <c r="AV167" s="615">
        <f t="shared" si="405"/>
        <v>0</v>
      </c>
      <c r="AW167" s="615">
        <f t="shared" si="405"/>
        <v>0</v>
      </c>
      <c r="AX167" s="615">
        <f t="shared" si="406" ref="AX167:BJ167">+SUM(AX165:AX166)</f>
        <v>0</v>
      </c>
      <c r="AY167" s="615">
        <f t="shared" si="406"/>
        <v>0</v>
      </c>
      <c r="AZ167" s="1006">
        <f t="shared" si="406"/>
        <v>0</v>
      </c>
      <c r="BA167" s="615">
        <f t="shared" si="407" ref="BA167:BI167">+SUM(BA165:BA166)</f>
        <v>0</v>
      </c>
      <c r="BB167" s="615">
        <f t="shared" si="407"/>
        <v>0</v>
      </c>
      <c r="BC167" s="615">
        <f t="shared" si="407"/>
        <v>0</v>
      </c>
      <c r="BD167" s="615">
        <f t="shared" si="407"/>
        <v>0</v>
      </c>
      <c r="BE167" s="1006">
        <f t="shared" si="407"/>
        <v>0</v>
      </c>
      <c r="BF167" s="615">
        <f>+SUM(BF165:BF166)</f>
        <v>0</v>
      </c>
      <c r="BG167" s="615">
        <f>+SUM(BG165:BG166)</f>
        <v>0</v>
      </c>
      <c r="BH167" s="666">
        <f>+SUM(BH165:BH166)</f>
        <v>0</v>
      </c>
      <c r="BI167" s="615">
        <f t="shared" si="407"/>
        <v>0</v>
      </c>
      <c r="BJ167" s="1006">
        <f t="shared" si="406"/>
        <v>0</v>
      </c>
      <c r="BK167" s="615">
        <f t="shared" si="408" ref="BK167:BR167">+SUM(BK165:BK166)</f>
        <v>0</v>
      </c>
      <c r="BL167" s="615">
        <f t="shared" si="408"/>
        <v>0</v>
      </c>
      <c r="BM167" s="615">
        <f t="shared" si="408"/>
        <v>0</v>
      </c>
      <c r="BN167" s="615">
        <f t="shared" si="408"/>
        <v>0</v>
      </c>
      <c r="BO167" s="1006">
        <f t="shared" si="408"/>
        <v>0</v>
      </c>
      <c r="BP167" s="1006">
        <f t="shared" si="408"/>
        <v>0</v>
      </c>
      <c r="BQ167" s="1006">
        <f t="shared" si="408"/>
        <v>0</v>
      </c>
      <c r="BR167" s="1006">
        <f t="shared" si="408"/>
        <v>0</v>
      </c>
      <c r="BS167" s="113"/>
    </row>
    <row r="168" spans="1:71" s="224" customFormat="1" ht="15" hidden="1" outlineLevel="1">
      <c r="A168" s="75" t="s">
        <v>29</v>
      </c>
      <c r="B168" s="362"/>
      <c r="C168" s="1002">
        <v>149</v>
      </c>
      <c r="D168" s="1002">
        <v>38</v>
      </c>
      <c r="E168" s="1002">
        <v>594</v>
      </c>
      <c r="F168" s="1002">
        <v>474</v>
      </c>
      <c r="G168" s="1002">
        <v>262</v>
      </c>
      <c r="H168" s="908">
        <v>41</v>
      </c>
      <c r="I168" s="908">
        <v>97</v>
      </c>
      <c r="J168" s="908">
        <v>33</v>
      </c>
      <c r="K168" s="908">
        <v>44</v>
      </c>
      <c r="L168" s="1002">
        <v>215</v>
      </c>
      <c r="M168" s="908">
        <v>68</v>
      </c>
      <c r="N168" s="908">
        <v>92</v>
      </c>
      <c r="O168" s="908">
        <v>26</v>
      </c>
      <c r="P168" s="908">
        <v>117</v>
      </c>
      <c r="Q168" s="1002">
        <v>303</v>
      </c>
      <c r="R168" s="908">
        <v>91</v>
      </c>
      <c r="S168" s="908">
        <v>13</v>
      </c>
      <c r="T168" s="908">
        <v>-17</v>
      </c>
      <c r="U168" s="908">
        <v>128</v>
      </c>
      <c r="V168" s="1002">
        <v>215</v>
      </c>
      <c r="W168" s="908">
        <v>-7</v>
      </c>
      <c r="X168" s="908">
        <v>5</v>
      </c>
      <c r="Y168" s="908">
        <v>61</v>
      </c>
      <c r="Z168" s="139">
        <f>AA168-Y168-X168-W168</f>
        <v>-31</v>
      </c>
      <c r="AA168" s="1002">
        <v>28</v>
      </c>
      <c r="AB168" s="139"/>
      <c r="AC168" s="139"/>
      <c r="AD168" s="139"/>
      <c r="AE168" s="139">
        <f>AF168-AD168-AC168-AB168</f>
        <v>0</v>
      </c>
      <c r="AF168" s="1003"/>
      <c r="AG168" s="139"/>
      <c r="AH168" s="139"/>
      <c r="AI168" s="139"/>
      <c r="AJ168" s="139">
        <f>AK168-AI168-AH168-AG168</f>
        <v>0</v>
      </c>
      <c r="AK168" s="1003"/>
      <c r="AL168" s="139"/>
      <c r="AM168" s="139"/>
      <c r="AN168" s="139"/>
      <c r="AO168" s="139">
        <f>AP168-AN168-AM168-AL168</f>
        <v>0</v>
      </c>
      <c r="AP168" s="1003"/>
      <c r="AQ168" s="139"/>
      <c r="AR168" s="139"/>
      <c r="AS168" s="139"/>
      <c r="AT168" s="139">
        <f>AU168-AS168-AR168-AQ168</f>
        <v>0</v>
      </c>
      <c r="AU168" s="1003"/>
      <c r="AV168" s="139"/>
      <c r="AW168" s="139"/>
      <c r="AX168" s="139"/>
      <c r="AY168" s="139">
        <f>AZ168-AX168-AW168-AV168</f>
        <v>0</v>
      </c>
      <c r="AZ168" s="1003"/>
      <c r="BA168" s="139"/>
      <c r="BB168" s="139"/>
      <c r="BC168" s="139"/>
      <c r="BD168" s="139">
        <f>BE168-BC168-BB168-BA168</f>
        <v>0</v>
      </c>
      <c r="BE168" s="1003"/>
      <c r="BF168" s="139"/>
      <c r="BG168" s="139"/>
      <c r="BH168" s="750"/>
      <c r="BI168" s="139"/>
      <c r="BJ168" s="1003"/>
      <c r="BK168" s="139"/>
      <c r="BL168" s="139"/>
      <c r="BM168" s="139"/>
      <c r="BN168" s="139"/>
      <c r="BO168" s="1003"/>
      <c r="BP168" s="1003"/>
      <c r="BQ168" s="1003"/>
      <c r="BR168" s="1003"/>
      <c r="BS168" s="113"/>
    </row>
    <row r="169" spans="1:71" s="224" customFormat="1" ht="15" hidden="1" outlineLevel="1">
      <c r="A169" s="74" t="s">
        <v>30</v>
      </c>
      <c r="B169" s="364"/>
      <c r="C169" s="1004">
        <v>0</v>
      </c>
      <c r="D169" s="1004">
        <v>-1</v>
      </c>
      <c r="E169" s="1004">
        <v>-245</v>
      </c>
      <c r="F169" s="1004">
        <v>154</v>
      </c>
      <c r="G169" s="1004">
        <v>336</v>
      </c>
      <c r="H169" s="911">
        <v>-84</v>
      </c>
      <c r="I169" s="911">
        <v>33</v>
      </c>
      <c r="J169" s="911">
        <v>-17</v>
      </c>
      <c r="K169" s="911">
        <v>99</v>
      </c>
      <c r="L169" s="1004">
        <v>31</v>
      </c>
      <c r="M169" s="911">
        <v>-49</v>
      </c>
      <c r="N169" s="911">
        <v>35</v>
      </c>
      <c r="O169" s="911">
        <v>-3</v>
      </c>
      <c r="P169" s="911">
        <v>7</v>
      </c>
      <c r="Q169" s="1004">
        <v>-10</v>
      </c>
      <c r="R169" s="911">
        <v>-47</v>
      </c>
      <c r="S169" s="911">
        <v>-167</v>
      </c>
      <c r="T169" s="911">
        <v>-107</v>
      </c>
      <c r="U169" s="911">
        <v>66</v>
      </c>
      <c r="V169" s="1004">
        <v>-255</v>
      </c>
      <c r="W169" s="911">
        <v>-123</v>
      </c>
      <c r="X169" s="911">
        <v>-52</v>
      </c>
      <c r="Y169" s="911">
        <v>-23</v>
      </c>
      <c r="Z169" s="347">
        <f>AA169-Y169-X169-W169</f>
        <v>56</v>
      </c>
      <c r="AA169" s="1004">
        <v>-142</v>
      </c>
      <c r="AB169" s="911">
        <v>-127</v>
      </c>
      <c r="AC169" s="911">
        <v>8</v>
      </c>
      <c r="AD169" s="911">
        <v>61</v>
      </c>
      <c r="AE169" s="347">
        <f>AF169-AD169-AC169-AB169</f>
        <v>-291</v>
      </c>
      <c r="AF169" s="1004">
        <v>-349</v>
      </c>
      <c r="AG169" s="911">
        <v>73</v>
      </c>
      <c r="AH169" s="911">
        <v>-64</v>
      </c>
      <c r="AI169" s="911">
        <v>-135</v>
      </c>
      <c r="AJ169" s="347">
        <f>AK169-AI169-AH169-AG169</f>
        <v>22</v>
      </c>
      <c r="AK169" s="1004">
        <v>-104</v>
      </c>
      <c r="AL169" s="347"/>
      <c r="AM169" s="347"/>
      <c r="AN169" s="347"/>
      <c r="AO169" s="347">
        <f>AP169-AN169-AM169-AL169</f>
        <v>0</v>
      </c>
      <c r="AP169" s="1005"/>
      <c r="AQ169" s="347"/>
      <c r="AR169" s="347"/>
      <c r="AS169" s="347"/>
      <c r="AT169" s="347">
        <f>AU169-AS169-AR169-AQ169</f>
        <v>0</v>
      </c>
      <c r="AU169" s="1005"/>
      <c r="AV169" s="347"/>
      <c r="AW169" s="347"/>
      <c r="AX169" s="347"/>
      <c r="AY169" s="347">
        <f>AZ169-AX169-AW169-AV169</f>
        <v>0</v>
      </c>
      <c r="AZ169" s="1005"/>
      <c r="BA169" s="347"/>
      <c r="BB169" s="347"/>
      <c r="BC169" s="347"/>
      <c r="BD169" s="347">
        <f>BE169-BC169-BB169-BA169</f>
        <v>0</v>
      </c>
      <c r="BE169" s="1003"/>
      <c r="BF169" s="347"/>
      <c r="BG169" s="347"/>
      <c r="BH169" s="751"/>
      <c r="BI169" s="347"/>
      <c r="BJ169" s="1005"/>
      <c r="BK169" s="347"/>
      <c r="BL169" s="347"/>
      <c r="BM169" s="347"/>
      <c r="BN169" s="347"/>
      <c r="BO169" s="1005"/>
      <c r="BP169" s="1005"/>
      <c r="BQ169" s="1005"/>
      <c r="BR169" s="1005"/>
      <c r="BS169" s="113"/>
    </row>
    <row r="170" spans="1:71" s="224" customFormat="1" ht="15" hidden="1" outlineLevel="1">
      <c r="A170" s="67" t="s">
        <v>31</v>
      </c>
      <c r="B170" s="495"/>
      <c r="C170" s="1006">
        <f t="shared" si="409" ref="C170:AK170">+SUM(C167:C169)</f>
        <v>-1212</v>
      </c>
      <c r="D170" s="1006">
        <f t="shared" si="409"/>
        <v>-422</v>
      </c>
      <c r="E170" s="1006">
        <f t="shared" si="409"/>
        <v>-1552</v>
      </c>
      <c r="F170" s="1006">
        <f t="shared" si="409"/>
        <v>-349</v>
      </c>
      <c r="G170" s="1006">
        <f t="shared" si="409"/>
        <v>399</v>
      </c>
      <c r="H170" s="615">
        <f t="shared" si="409"/>
        <v>-46</v>
      </c>
      <c r="I170" s="615">
        <f t="shared" si="409"/>
        <v>102</v>
      </c>
      <c r="J170" s="615">
        <f t="shared" si="409"/>
        <v>16</v>
      </c>
      <c r="K170" s="615">
        <f t="shared" si="409"/>
        <v>143</v>
      </c>
      <c r="L170" s="1006">
        <f t="shared" si="409"/>
        <v>215</v>
      </c>
      <c r="M170" s="615">
        <f t="shared" si="409"/>
        <v>13</v>
      </c>
      <c r="N170" s="615">
        <f t="shared" si="409"/>
        <v>127</v>
      </c>
      <c r="O170" s="615">
        <f t="shared" si="409"/>
        <v>-114</v>
      </c>
      <c r="P170" s="615">
        <f t="shared" si="409"/>
        <v>114</v>
      </c>
      <c r="Q170" s="1006">
        <f t="shared" si="409"/>
        <v>140</v>
      </c>
      <c r="R170" s="615">
        <f t="shared" si="409"/>
        <v>30</v>
      </c>
      <c r="S170" s="615">
        <f t="shared" si="409"/>
        <v>-187</v>
      </c>
      <c r="T170" s="615">
        <f t="shared" si="409"/>
        <v>-146</v>
      </c>
      <c r="U170" s="615">
        <f t="shared" si="409"/>
        <v>180</v>
      </c>
      <c r="V170" s="1006">
        <f t="shared" si="409"/>
        <v>-123</v>
      </c>
      <c r="W170" s="615">
        <f t="shared" si="409"/>
        <v>-140</v>
      </c>
      <c r="X170" s="615">
        <f t="shared" si="409"/>
        <v>-56</v>
      </c>
      <c r="Y170" s="615">
        <f t="shared" si="409"/>
        <v>30</v>
      </c>
      <c r="Z170" s="615">
        <f t="shared" si="409"/>
        <v>15</v>
      </c>
      <c r="AA170" s="1006">
        <f t="shared" si="409"/>
        <v>-151</v>
      </c>
      <c r="AB170" s="615">
        <f t="shared" si="409"/>
        <v>-134</v>
      </c>
      <c r="AC170" s="615">
        <f t="shared" si="409"/>
        <v>3</v>
      </c>
      <c r="AD170" s="615">
        <f t="shared" si="409"/>
        <v>56</v>
      </c>
      <c r="AE170" s="615">
        <f t="shared" si="409"/>
        <v>-355</v>
      </c>
      <c r="AF170" s="1006">
        <f t="shared" si="409"/>
        <v>-430</v>
      </c>
      <c r="AG170" s="615">
        <f t="shared" si="409"/>
        <v>71</v>
      </c>
      <c r="AH170" s="615">
        <f t="shared" si="409"/>
        <v>-66</v>
      </c>
      <c r="AI170" s="615">
        <f t="shared" si="409"/>
        <v>-153</v>
      </c>
      <c r="AJ170" s="615">
        <f t="shared" si="409"/>
        <v>13</v>
      </c>
      <c r="AK170" s="1006">
        <f t="shared" si="409"/>
        <v>-135</v>
      </c>
      <c r="AL170" s="912">
        <v>-463</v>
      </c>
      <c r="AM170" s="912">
        <v>-170</v>
      </c>
      <c r="AN170" s="912">
        <v>108</v>
      </c>
      <c r="AO170" s="615">
        <f>AP170-SUM(AL170,AM170,AN170)</f>
        <v>255</v>
      </c>
      <c r="AP170" s="1007">
        <v>-270</v>
      </c>
      <c r="AQ170" s="912">
        <v>307</v>
      </c>
      <c r="AR170" s="912">
        <v>89</v>
      </c>
      <c r="AS170" s="912">
        <v>-171</v>
      </c>
      <c r="AT170" s="615">
        <f>AU170-SUM(AQ170,AR170,AS170)</f>
        <v>243</v>
      </c>
      <c r="AU170" s="1007">
        <v>468</v>
      </c>
      <c r="AV170" s="912">
        <v>122</v>
      </c>
      <c r="AW170" s="912">
        <v>564</v>
      </c>
      <c r="AX170" s="912">
        <v>199</v>
      </c>
      <c r="AY170" s="615">
        <f>AZ170-SUM(AV170,AW170,AX170)</f>
        <v>-522</v>
      </c>
      <c r="AZ170" s="1007">
        <v>363</v>
      </c>
      <c r="BA170" s="912">
        <v>123</v>
      </c>
      <c r="BB170" s="912">
        <v>555</v>
      </c>
      <c r="BC170" s="912">
        <v>423</v>
      </c>
      <c r="BD170" s="615">
        <f>BE170-SUM(BA170,BB170,BC170)</f>
        <v>-511</v>
      </c>
      <c r="BE170" s="1007">
        <v>590</v>
      </c>
      <c r="BF170" s="912">
        <v>951</v>
      </c>
      <c r="BG170" s="912">
        <v>696</v>
      </c>
      <c r="BH170" s="914">
        <v>-1408</v>
      </c>
      <c r="BI170" s="615">
        <f t="shared" si="410" ref="BI170:BR170">+SUM(BI167:BI169)</f>
        <v>0</v>
      </c>
      <c r="BJ170" s="1006">
        <f t="shared" si="410"/>
        <v>0</v>
      </c>
      <c r="BK170" s="615">
        <f t="shared" si="410"/>
        <v>0</v>
      </c>
      <c r="BL170" s="615">
        <f t="shared" si="410"/>
        <v>0</v>
      </c>
      <c r="BM170" s="615">
        <f t="shared" si="410"/>
        <v>0</v>
      </c>
      <c r="BN170" s="615">
        <f t="shared" si="410"/>
        <v>0</v>
      </c>
      <c r="BO170" s="1006">
        <f t="shared" si="410"/>
        <v>0</v>
      </c>
      <c r="BP170" s="1006">
        <f t="shared" si="410"/>
        <v>0</v>
      </c>
      <c r="BQ170" s="1006">
        <f t="shared" si="410"/>
        <v>0</v>
      </c>
      <c r="BR170" s="1006">
        <f t="shared" si="410"/>
        <v>0</v>
      </c>
      <c r="BS170" s="113"/>
    </row>
    <row r="171" spans="1:71" s="224" customFormat="1" ht="15" hidden="1" outlineLevel="1">
      <c r="A171" s="607" t="s">
        <v>32</v>
      </c>
      <c r="B171" s="364"/>
      <c r="C171" s="1004">
        <v>80</v>
      </c>
      <c r="D171" s="1004">
        <v>74</v>
      </c>
      <c r="E171" s="1004">
        <v>81</v>
      </c>
      <c r="F171" s="1004">
        <v>92</v>
      </c>
      <c r="G171" s="1004">
        <v>112</v>
      </c>
      <c r="H171" s="911">
        <v>5</v>
      </c>
      <c r="I171" s="911">
        <v>5</v>
      </c>
      <c r="J171" s="911">
        <v>38</v>
      </c>
      <c r="K171" s="911">
        <v>74</v>
      </c>
      <c r="L171" s="1004">
        <v>122</v>
      </c>
      <c r="M171" s="911">
        <v>-1</v>
      </c>
      <c r="N171" s="911">
        <v>19</v>
      </c>
      <c r="O171" s="911">
        <v>-10</v>
      </c>
      <c r="P171" s="911">
        <v>19</v>
      </c>
      <c r="Q171" s="1004">
        <v>27</v>
      </c>
      <c r="R171" s="911">
        <v>18</v>
      </c>
      <c r="S171" s="911">
        <v>-21</v>
      </c>
      <c r="T171" s="911">
        <v>-2</v>
      </c>
      <c r="U171" s="911">
        <v>184</v>
      </c>
      <c r="V171" s="1004">
        <v>179</v>
      </c>
      <c r="W171" s="911">
        <v>17</v>
      </c>
      <c r="X171" s="911">
        <v>17</v>
      </c>
      <c r="Y171" s="911">
        <v>17</v>
      </c>
      <c r="Z171" s="347">
        <f>AA171-Y171-X171-W171</f>
        <v>16</v>
      </c>
      <c r="AA171" s="1004">
        <v>67</v>
      </c>
      <c r="AB171" s="911">
        <v>16</v>
      </c>
      <c r="AC171" s="911">
        <v>18</v>
      </c>
      <c r="AD171" s="911">
        <v>15</v>
      </c>
      <c r="AE171" s="347">
        <f>AF171-AD171-AC171-AB171</f>
        <v>20</v>
      </c>
      <c r="AF171" s="1004">
        <v>69</v>
      </c>
      <c r="AG171" s="911">
        <v>17</v>
      </c>
      <c r="AH171" s="911">
        <v>18</v>
      </c>
      <c r="AI171" s="911">
        <v>17</v>
      </c>
      <c r="AJ171" s="347">
        <f>AK171-AI171-AH171-AG171</f>
        <v>32</v>
      </c>
      <c r="AK171" s="1004">
        <v>84</v>
      </c>
      <c r="AL171" s="911">
        <v>40</v>
      </c>
      <c r="AM171" s="911">
        <v>43</v>
      </c>
      <c r="AN171" s="911">
        <v>38</v>
      </c>
      <c r="AO171" s="347">
        <f>AP171-SUM(AL171,AM171,AN171)</f>
        <v>36</v>
      </c>
      <c r="AP171" s="1004">
        <v>157</v>
      </c>
      <c r="AQ171" s="911">
        <v>44</v>
      </c>
      <c r="AR171" s="911">
        <v>41</v>
      </c>
      <c r="AS171" s="911">
        <v>45</v>
      </c>
      <c r="AT171" s="347">
        <f>AU171-SUM(AQ171,AR171,AS171)</f>
        <v>43</v>
      </c>
      <c r="AU171" s="1004">
        <v>173</v>
      </c>
      <c r="AV171" s="911">
        <v>69</v>
      </c>
      <c r="AW171" s="911">
        <v>50</v>
      </c>
      <c r="AX171" s="911">
        <v>50</v>
      </c>
      <c r="AY171" s="347">
        <f>AZ171-SUM(AV171,AW171,AX171)</f>
        <v>51</v>
      </c>
      <c r="AZ171" s="1004">
        <v>220</v>
      </c>
      <c r="BA171" s="911">
        <v>46</v>
      </c>
      <c r="BB171" s="911">
        <v>45</v>
      </c>
      <c r="BC171" s="911">
        <v>47</v>
      </c>
      <c r="BD171" s="347">
        <f>BE171-SUM(BA171,BB171,BC171)</f>
        <v>39</v>
      </c>
      <c r="BE171" s="1002">
        <v>177</v>
      </c>
      <c r="BF171" s="911">
        <v>29</v>
      </c>
      <c r="BG171" s="911">
        <v>22</v>
      </c>
      <c r="BH171" s="915">
        <v>23</v>
      </c>
      <c r="BI171" s="347"/>
      <c r="BJ171" s="1005"/>
      <c r="BK171" s="347"/>
      <c r="BL171" s="347"/>
      <c r="BM171" s="347"/>
      <c r="BN171" s="347"/>
      <c r="BO171" s="1005"/>
      <c r="BP171" s="1005"/>
      <c r="BQ171" s="1005"/>
      <c r="BR171" s="1005"/>
      <c r="BS171" s="113"/>
    </row>
    <row r="172" spans="1:71" s="224" customFormat="1" ht="15" hidden="1" outlineLevel="1">
      <c r="A172" s="68" t="s">
        <v>33</v>
      </c>
      <c r="B172" s="495"/>
      <c r="C172" s="982">
        <f t="shared" si="411" ref="C172:AN172">+SUM(C163:C164)+SUM(C170:C171)</f>
        <v>18254</v>
      </c>
      <c r="D172" s="982">
        <f t="shared" si="411"/>
        <v>20732</v>
      </c>
      <c r="E172" s="982">
        <f t="shared" si="411"/>
        <v>22171</v>
      </c>
      <c r="F172" s="982">
        <f t="shared" si="411"/>
        <v>25364</v>
      </c>
      <c r="G172" s="982">
        <f t="shared" si="411"/>
        <v>23939</v>
      </c>
      <c r="H172" s="25">
        <f t="shared" si="411"/>
        <v>5640</v>
      </c>
      <c r="I172" s="25">
        <f t="shared" si="411"/>
        <v>5838</v>
      </c>
      <c r="J172" s="25">
        <f t="shared" si="411"/>
        <v>5736</v>
      </c>
      <c r="K172" s="25">
        <f t="shared" si="411"/>
        <v>5514</v>
      </c>
      <c r="L172" s="982">
        <f t="shared" si="411"/>
        <v>22728</v>
      </c>
      <c r="M172" s="25">
        <f t="shared" si="411"/>
        <v>5226</v>
      </c>
      <c r="N172" s="25">
        <f t="shared" si="411"/>
        <v>5287</v>
      </c>
      <c r="O172" s="25">
        <f t="shared" si="411"/>
        <v>5040</v>
      </c>
      <c r="P172" s="25">
        <f t="shared" si="411"/>
        <v>5319</v>
      </c>
      <c r="Q172" s="982">
        <f t="shared" si="411"/>
        <v>20872</v>
      </c>
      <c r="R172" s="25">
        <f t="shared" si="411"/>
        <v>5451</v>
      </c>
      <c r="S172" s="25">
        <f t="shared" si="411"/>
        <v>5437</v>
      </c>
      <c r="T172" s="25">
        <f t="shared" si="411"/>
        <v>5716</v>
      </c>
      <c r="U172" s="25">
        <f t="shared" si="411"/>
        <v>5955</v>
      </c>
      <c r="V172" s="982">
        <f t="shared" si="411"/>
        <v>22559</v>
      </c>
      <c r="W172" s="25">
        <f t="shared" si="411"/>
        <v>5309</v>
      </c>
      <c r="X172" s="25">
        <f t="shared" si="411"/>
        <v>5428</v>
      </c>
      <c r="Y172" s="25">
        <f t="shared" si="411"/>
        <v>5506</v>
      </c>
      <c r="Z172" s="25">
        <f t="shared" si="411"/>
        <v>5424</v>
      </c>
      <c r="AA172" s="982">
        <f t="shared" si="411"/>
        <v>21667</v>
      </c>
      <c r="AB172" s="25">
        <f t="shared" si="411"/>
        <v>5464</v>
      </c>
      <c r="AC172" s="25">
        <f t="shared" si="411"/>
        <v>5589</v>
      </c>
      <c r="AD172" s="25">
        <f t="shared" si="411"/>
        <v>5577</v>
      </c>
      <c r="AE172" s="25">
        <f t="shared" si="411"/>
        <v>5128</v>
      </c>
      <c r="AF172" s="982">
        <f t="shared" si="411"/>
        <v>21758</v>
      </c>
      <c r="AG172" s="25">
        <f t="shared" si="411"/>
        <v>5657</v>
      </c>
      <c r="AH172" s="25">
        <f t="shared" si="411"/>
        <v>5511</v>
      </c>
      <c r="AI172" s="25">
        <f t="shared" si="411"/>
        <v>5536</v>
      </c>
      <c r="AJ172" s="25">
        <f t="shared" si="411"/>
        <v>5603</v>
      </c>
      <c r="AK172" s="982">
        <f t="shared" si="411"/>
        <v>22307</v>
      </c>
      <c r="AL172" s="25">
        <f t="shared" si="411"/>
        <v>5162</v>
      </c>
      <c r="AM172" s="25">
        <f t="shared" si="411"/>
        <v>5407</v>
      </c>
      <c r="AN172" s="25">
        <f t="shared" si="411"/>
        <v>5665</v>
      </c>
      <c r="AO172" s="25">
        <f t="shared" si="412" ref="AO172:AP172">+SUM(AO163:AO164)+SUM(AO170:AO171)</f>
        <v>5913</v>
      </c>
      <c r="AP172" s="982">
        <f t="shared" si="412"/>
        <v>22147</v>
      </c>
      <c r="AQ172" s="25">
        <f t="shared" si="413" ref="AQ172">+SUM(AQ163:AQ164)+SUM(AQ170:AQ171)</f>
        <v>5869</v>
      </c>
      <c r="AR172" s="25">
        <f t="shared" si="414" ref="AR172:AW172">+SUM(AR163:AR164)+SUM(AR170:AR171)</f>
        <v>5564</v>
      </c>
      <c r="AS172" s="25">
        <f t="shared" si="414"/>
        <v>5237</v>
      </c>
      <c r="AT172" s="25">
        <f t="shared" si="414"/>
        <v>5436</v>
      </c>
      <c r="AU172" s="982">
        <f t="shared" si="414"/>
        <v>22106</v>
      </c>
      <c r="AV172" s="25">
        <f t="shared" si="414"/>
        <v>5173</v>
      </c>
      <c r="AW172" s="25">
        <f t="shared" si="414"/>
        <v>5315</v>
      </c>
      <c r="AX172" s="25">
        <f t="shared" si="415" ref="AX172:BJ172">+SUM(AX163:AX164)+SUM(AX170:AX171)</f>
        <v>4704</v>
      </c>
      <c r="AY172" s="25">
        <f t="shared" si="415"/>
        <v>3948</v>
      </c>
      <c r="AZ172" s="982">
        <f t="shared" si="415"/>
        <v>19140</v>
      </c>
      <c r="BA172" s="25">
        <f t="shared" si="416" ref="BA172:BI172">+SUM(BA163:BA164)+SUM(BA170:BA171)</f>
        <v>4800</v>
      </c>
      <c r="BB172" s="25">
        <f t="shared" si="416"/>
        <v>5172</v>
      </c>
      <c r="BC172" s="25">
        <f t="shared" si="416"/>
        <v>4950</v>
      </c>
      <c r="BD172" s="25">
        <f t="shared" si="416"/>
        <v>3779</v>
      </c>
      <c r="BE172" s="982">
        <f t="shared" si="416"/>
        <v>18701</v>
      </c>
      <c r="BF172" s="25">
        <f>+SUM(BF163:BF164)+SUM(BF170:BF171)</f>
        <v>5436</v>
      </c>
      <c r="BG172" s="25">
        <f>+SUM(BG163:BG164)+SUM(BG170:BG171)</f>
        <v>5138</v>
      </c>
      <c r="BH172" s="749">
        <f>+SUM(BH163:BH164)+SUM(BH170:BH171)</f>
        <v>2949</v>
      </c>
      <c r="BI172" s="25">
        <f t="shared" si="416"/>
        <v>0</v>
      </c>
      <c r="BJ172" s="982">
        <f t="shared" si="415"/>
        <v>0</v>
      </c>
      <c r="BK172" s="25">
        <f t="shared" si="417" ref="BK172:BR172">+SUM(BK163:BK164)+SUM(BK170:BK171)</f>
        <v>0</v>
      </c>
      <c r="BL172" s="25">
        <f t="shared" si="417"/>
        <v>0</v>
      </c>
      <c r="BM172" s="25">
        <f t="shared" si="417"/>
        <v>0</v>
      </c>
      <c r="BN172" s="25">
        <f t="shared" si="417"/>
        <v>0</v>
      </c>
      <c r="BO172" s="982">
        <f t="shared" si="417"/>
        <v>0</v>
      </c>
      <c r="BP172" s="982">
        <f t="shared" si="417"/>
        <v>0</v>
      </c>
      <c r="BQ172" s="982">
        <f t="shared" si="417"/>
        <v>0</v>
      </c>
      <c r="BR172" s="982">
        <f t="shared" si="417"/>
        <v>0</v>
      </c>
      <c r="BS172" s="113"/>
    </row>
    <row r="173" spans="1:71" s="224" customFormat="1" ht="15" hidden="1" outlineLevel="1">
      <c r="A173" s="424" t="s">
        <v>34</v>
      </c>
      <c r="B173" s="362"/>
      <c r="C173" s="1002">
        <v>11308</v>
      </c>
      <c r="D173" s="1002">
        <v>12106</v>
      </c>
      <c r="E173" s="1002">
        <v>13749</v>
      </c>
      <c r="F173" s="1002">
        <v>15330</v>
      </c>
      <c r="G173" s="1002">
        <v>13813</v>
      </c>
      <c r="H173" s="908">
        <v>3220</v>
      </c>
      <c r="I173" s="908">
        <v>3293</v>
      </c>
      <c r="J173" s="908">
        <v>3355</v>
      </c>
      <c r="K173" s="908">
        <v>3069</v>
      </c>
      <c r="L173" s="1002">
        <v>12937</v>
      </c>
      <c r="M173" s="908">
        <v>2952</v>
      </c>
      <c r="N173" s="908">
        <v>2937</v>
      </c>
      <c r="O173" s="908">
        <v>2927</v>
      </c>
      <c r="P173" s="908">
        <v>2930</v>
      </c>
      <c r="Q173" s="1002">
        <v>11746</v>
      </c>
      <c r="R173" s="908">
        <v>3025</v>
      </c>
      <c r="S173" s="908">
        <v>3254</v>
      </c>
      <c r="T173" s="908">
        <v>3378</v>
      </c>
      <c r="U173" s="908">
        <v>3262</v>
      </c>
      <c r="V173" s="1002">
        <v>12919</v>
      </c>
      <c r="W173" s="908">
        <v>3052</v>
      </c>
      <c r="X173" s="908">
        <v>3039</v>
      </c>
      <c r="Y173" s="908">
        <v>3083</v>
      </c>
      <c r="Z173" s="139">
        <f t="shared" si="418" ref="Z173:Z178">AA173-Y173-X173-W173</f>
        <v>3007</v>
      </c>
      <c r="AA173" s="1002">
        <v>12181</v>
      </c>
      <c r="AB173" s="908">
        <v>3042</v>
      </c>
      <c r="AC173" s="908">
        <v>3031</v>
      </c>
      <c r="AD173" s="908">
        <v>3002</v>
      </c>
      <c r="AE173" s="139">
        <f t="shared" si="419" ref="AE173:AE178">AF173-AD173-AC173-AB173</f>
        <v>2925</v>
      </c>
      <c r="AF173" s="1002">
        <v>12000</v>
      </c>
      <c r="AG173" s="908">
        <v>2967</v>
      </c>
      <c r="AH173" s="908">
        <v>2964</v>
      </c>
      <c r="AI173" s="908">
        <v>3027</v>
      </c>
      <c r="AJ173" s="139">
        <f t="shared" si="420" ref="AJ173:AJ178">AK173-AI173-AH173-AG173</f>
        <v>2984</v>
      </c>
      <c r="AK173" s="1002">
        <v>11942</v>
      </c>
      <c r="AL173" s="908">
        <v>2939</v>
      </c>
      <c r="AM173" s="908">
        <v>2897</v>
      </c>
      <c r="AN173" s="908">
        <v>2985</v>
      </c>
      <c r="AO173" s="139">
        <f t="shared" si="421" ref="AO173:AO178">AP173-AN173-AM173-AL173</f>
        <v>2975</v>
      </c>
      <c r="AP173" s="1002">
        <v>11796</v>
      </c>
      <c r="AQ173" s="908">
        <v>2735</v>
      </c>
      <c r="AR173" s="908">
        <v>2653</v>
      </c>
      <c r="AS173" s="908">
        <v>2609</v>
      </c>
      <c r="AT173" s="139">
        <f t="shared" si="422" ref="AT173:AT178">AU173-AS173-AR173-AQ173</f>
        <v>2579</v>
      </c>
      <c r="AU173" s="1002">
        <v>10576</v>
      </c>
      <c r="AV173" s="908">
        <v>2483</v>
      </c>
      <c r="AW173" s="908">
        <v>2274</v>
      </c>
      <c r="AX173" s="908">
        <v>2076</v>
      </c>
      <c r="AY173" s="139">
        <f t="shared" si="423" ref="AY173:AY178">AZ173-AX173-AW173-AV173</f>
        <v>2054</v>
      </c>
      <c r="AZ173" s="1002">
        <v>8887</v>
      </c>
      <c r="BA173" s="908">
        <v>2150</v>
      </c>
      <c r="BB173" s="908">
        <v>2098</v>
      </c>
      <c r="BC173" s="908">
        <v>1860</v>
      </c>
      <c r="BD173" s="139">
        <f t="shared" si="424" ref="BD173:BD178">BE173-BC173-BB173-BA173</f>
        <v>2103</v>
      </c>
      <c r="BE173" s="1002">
        <v>8211</v>
      </c>
      <c r="BF173" s="908">
        <v>2010</v>
      </c>
      <c r="BG173" s="908">
        <v>1921</v>
      </c>
      <c r="BH173" s="909">
        <v>1595</v>
      </c>
      <c r="BI173" s="139"/>
      <c r="BJ173" s="1003"/>
      <c r="BK173" s="139"/>
      <c r="BL173" s="139"/>
      <c r="BM173" s="139"/>
      <c r="BN173" s="139"/>
      <c r="BO173" s="1003"/>
      <c r="BP173" s="1003"/>
      <c r="BQ173" s="1003"/>
      <c r="BR173" s="1003"/>
      <c r="BS173" s="113"/>
    </row>
    <row r="174" spans="1:71" s="224" customFormat="1" ht="15" hidden="1" outlineLevel="1">
      <c r="A174" s="75" t="s">
        <v>35</v>
      </c>
      <c r="B174" s="362"/>
      <c r="C174" s="1002">
        <v>942</v>
      </c>
      <c r="D174" s="1002">
        <v>1030</v>
      </c>
      <c r="E174" s="1002">
        <v>1033</v>
      </c>
      <c r="F174" s="1002">
        <v>1117</v>
      </c>
      <c r="G174" s="1002">
        <v>1074</v>
      </c>
      <c r="H174" s="908">
        <v>294</v>
      </c>
      <c r="I174" s="908">
        <v>276</v>
      </c>
      <c r="J174" s="908">
        <v>271</v>
      </c>
      <c r="K174" s="908">
        <v>267</v>
      </c>
      <c r="L174" s="1002">
        <v>1108</v>
      </c>
      <c r="M174" s="908">
        <v>277</v>
      </c>
      <c r="N174" s="908">
        <v>255</v>
      </c>
      <c r="O174" s="908">
        <v>258</v>
      </c>
      <c r="P174" s="908">
        <v>276</v>
      </c>
      <c r="Q174" s="1002">
        <v>1066</v>
      </c>
      <c r="R174" s="908">
        <v>292</v>
      </c>
      <c r="S174" s="908">
        <v>284</v>
      </c>
      <c r="T174" s="908">
        <v>282</v>
      </c>
      <c r="U174" s="908">
        <v>283</v>
      </c>
      <c r="V174" s="1002">
        <v>1141</v>
      </c>
      <c r="W174" s="908">
        <v>294</v>
      </c>
      <c r="X174" s="908">
        <v>283</v>
      </c>
      <c r="Y174" s="908">
        <v>271</v>
      </c>
      <c r="Z174" s="139">
        <f t="shared" si="418"/>
        <v>284</v>
      </c>
      <c r="AA174" s="1002">
        <v>1132</v>
      </c>
      <c r="AB174" s="908">
        <v>314</v>
      </c>
      <c r="AC174" s="908">
        <v>303</v>
      </c>
      <c r="AD174" s="908">
        <v>315</v>
      </c>
      <c r="AE174" s="139">
        <f t="shared" si="419"/>
        <v>313</v>
      </c>
      <c r="AF174" s="1002">
        <v>1245</v>
      </c>
      <c r="AG174" s="908">
        <v>340</v>
      </c>
      <c r="AH174" s="908">
        <v>309</v>
      </c>
      <c r="AI174" s="908">
        <v>317</v>
      </c>
      <c r="AJ174" s="139">
        <f t="shared" si="420"/>
        <v>316</v>
      </c>
      <c r="AK174" s="1002">
        <v>1282</v>
      </c>
      <c r="AL174" s="908">
        <v>333</v>
      </c>
      <c r="AM174" s="908">
        <v>289</v>
      </c>
      <c r="AN174" s="908">
        <v>292</v>
      </c>
      <c r="AO174" s="139">
        <f t="shared" si="421"/>
        <v>300</v>
      </c>
      <c r="AP174" s="1002">
        <v>1214</v>
      </c>
      <c r="AQ174" s="908">
        <v>311</v>
      </c>
      <c r="AR174" s="908">
        <v>280</v>
      </c>
      <c r="AS174" s="908">
        <v>278</v>
      </c>
      <c r="AT174" s="139">
        <f t="shared" si="422"/>
        <v>301</v>
      </c>
      <c r="AU174" s="1002">
        <v>1170</v>
      </c>
      <c r="AV174" s="908">
        <v>207</v>
      </c>
      <c r="AW174" s="908">
        <v>197</v>
      </c>
      <c r="AX174" s="908">
        <v>194</v>
      </c>
      <c r="AY174" s="139">
        <f t="shared" si="423"/>
        <v>194</v>
      </c>
      <c r="AZ174" s="1002">
        <v>792</v>
      </c>
      <c r="BA174" s="908">
        <v>205</v>
      </c>
      <c r="BB174" s="908">
        <v>202</v>
      </c>
      <c r="BC174" s="908">
        <v>201</v>
      </c>
      <c r="BD174" s="139">
        <f t="shared" si="424"/>
        <v>208</v>
      </c>
      <c r="BE174" s="1002">
        <v>816</v>
      </c>
      <c r="BF174" s="908">
        <v>215</v>
      </c>
      <c r="BG174" s="908">
        <v>208</v>
      </c>
      <c r="BH174" s="909">
        <v>214</v>
      </c>
      <c r="BI174" s="139"/>
      <c r="BJ174" s="1003"/>
      <c r="BK174" s="139"/>
      <c r="BL174" s="139"/>
      <c r="BM174" s="139"/>
      <c r="BN174" s="139"/>
      <c r="BO174" s="1003"/>
      <c r="BP174" s="1003"/>
      <c r="BQ174" s="1003"/>
      <c r="BR174" s="1003"/>
      <c r="BS174" s="113"/>
    </row>
    <row r="175" spans="1:71" s="224" customFormat="1" ht="15" hidden="1" outlineLevel="1">
      <c r="A175" s="75" t="s">
        <v>36</v>
      </c>
      <c r="B175" s="362"/>
      <c r="C175" s="1002">
        <v>1568</v>
      </c>
      <c r="D175" s="1002">
        <v>1637</v>
      </c>
      <c r="E175" s="1002">
        <v>1725</v>
      </c>
      <c r="F175" s="1002">
        <v>1744</v>
      </c>
      <c r="G175" s="1002">
        <v>1528</v>
      </c>
      <c r="H175" s="908">
        <v>366</v>
      </c>
      <c r="I175" s="908">
        <v>369</v>
      </c>
      <c r="J175" s="908">
        <v>361</v>
      </c>
      <c r="K175" s="908">
        <v>340</v>
      </c>
      <c r="L175" s="1002">
        <v>1436</v>
      </c>
      <c r="M175" s="908">
        <v>330</v>
      </c>
      <c r="N175" s="908">
        <v>325</v>
      </c>
      <c r="O175" s="908">
        <v>326</v>
      </c>
      <c r="P175" s="908">
        <v>322</v>
      </c>
      <c r="Q175" s="1002">
        <v>1303</v>
      </c>
      <c r="R175" s="908">
        <v>333</v>
      </c>
      <c r="S175" s="908">
        <v>345</v>
      </c>
      <c r="T175" s="908">
        <v>353</v>
      </c>
      <c r="U175" s="908">
        <v>337</v>
      </c>
      <c r="V175" s="1002">
        <v>1368</v>
      </c>
      <c r="W175" s="908">
        <v>328</v>
      </c>
      <c r="X175" s="908">
        <v>335</v>
      </c>
      <c r="Y175" s="908">
        <v>332</v>
      </c>
      <c r="Z175" s="139">
        <f t="shared" si="418"/>
        <v>321</v>
      </c>
      <c r="AA175" s="1002">
        <v>1316</v>
      </c>
      <c r="AB175" s="908">
        <v>337</v>
      </c>
      <c r="AC175" s="908">
        <v>338</v>
      </c>
      <c r="AD175" s="908">
        <v>331</v>
      </c>
      <c r="AE175" s="139">
        <f t="shared" si="419"/>
        <v>314</v>
      </c>
      <c r="AF175" s="1002">
        <v>1320</v>
      </c>
      <c r="AG175" s="908">
        <v>331</v>
      </c>
      <c r="AH175" s="908">
        <v>329</v>
      </c>
      <c r="AI175" s="908">
        <v>330</v>
      </c>
      <c r="AJ175" s="139">
        <f t="shared" si="420"/>
        <v>331</v>
      </c>
      <c r="AK175" s="1002">
        <v>1321</v>
      </c>
      <c r="AL175" s="908">
        <v>336</v>
      </c>
      <c r="AM175" s="908">
        <v>332</v>
      </c>
      <c r="AN175" s="908">
        <v>325</v>
      </c>
      <c r="AO175" s="139">
        <f t="shared" si="421"/>
        <v>323</v>
      </c>
      <c r="AP175" s="1002">
        <v>1316</v>
      </c>
      <c r="AQ175" s="908">
        <v>326</v>
      </c>
      <c r="AR175" s="908">
        <v>315</v>
      </c>
      <c r="AS175" s="908">
        <v>311</v>
      </c>
      <c r="AT175" s="139">
        <f t="shared" si="422"/>
        <v>304</v>
      </c>
      <c r="AU175" s="1002">
        <v>1256</v>
      </c>
      <c r="AV175" s="908">
        <v>300</v>
      </c>
      <c r="AW175" s="908">
        <v>279</v>
      </c>
      <c r="AX175" s="908">
        <v>267</v>
      </c>
      <c r="AY175" s="139">
        <f t="shared" si="423"/>
        <v>271</v>
      </c>
      <c r="AZ175" s="1002">
        <v>1117</v>
      </c>
      <c r="BA175" s="908">
        <v>280</v>
      </c>
      <c r="BB175" s="908">
        <v>268</v>
      </c>
      <c r="BC175" s="908">
        <v>250</v>
      </c>
      <c r="BD175" s="139">
        <f t="shared" si="424"/>
        <v>254</v>
      </c>
      <c r="BE175" s="1002">
        <v>1052</v>
      </c>
      <c r="BF175" s="908">
        <v>255</v>
      </c>
      <c r="BG175" s="908">
        <v>246</v>
      </c>
      <c r="BH175" s="909">
        <v>251</v>
      </c>
      <c r="BI175" s="139"/>
      <c r="BJ175" s="1003"/>
      <c r="BK175" s="139"/>
      <c r="BL175" s="139"/>
      <c r="BM175" s="139"/>
      <c r="BN175" s="139"/>
      <c r="BO175" s="1003"/>
      <c r="BP175" s="1003"/>
      <c r="BQ175" s="1003"/>
      <c r="BR175" s="1003"/>
      <c r="BS175" s="113"/>
    </row>
    <row r="176" spans="1:71" s="224" customFormat="1" ht="15" hidden="1" outlineLevel="1">
      <c r="A176" s="75" t="s">
        <v>37</v>
      </c>
      <c r="B176" s="362"/>
      <c r="C176" s="1002">
        <v>1977</v>
      </c>
      <c r="D176" s="1002">
        <v>2062</v>
      </c>
      <c r="E176" s="1002">
        <v>2336</v>
      </c>
      <c r="F176" s="1002">
        <v>2415</v>
      </c>
      <c r="G176" s="1002">
        <v>2222</v>
      </c>
      <c r="H176" s="908">
        <v>534</v>
      </c>
      <c r="I176" s="908">
        <v>537</v>
      </c>
      <c r="J176" s="908">
        <v>566</v>
      </c>
      <c r="K176" s="908">
        <v>624</v>
      </c>
      <c r="L176" s="1002">
        <v>2261</v>
      </c>
      <c r="M176" s="908">
        <v>530</v>
      </c>
      <c r="N176" s="908">
        <v>550</v>
      </c>
      <c r="O176" s="908">
        <v>554</v>
      </c>
      <c r="P176" s="908">
        <v>580</v>
      </c>
      <c r="Q176" s="1002">
        <v>2214</v>
      </c>
      <c r="R176" s="908">
        <v>563</v>
      </c>
      <c r="S176" s="908">
        <v>613</v>
      </c>
      <c r="T176" s="908">
        <v>625</v>
      </c>
      <c r="U176" s="908">
        <v>651</v>
      </c>
      <c r="V176" s="1002">
        <v>2452</v>
      </c>
      <c r="W176" s="908">
        <v>614</v>
      </c>
      <c r="X176" s="908">
        <v>665</v>
      </c>
      <c r="Y176" s="908">
        <v>686</v>
      </c>
      <c r="Z176" s="139">
        <f t="shared" si="418"/>
        <v>815</v>
      </c>
      <c r="AA176" s="1002">
        <v>2780</v>
      </c>
      <c r="AB176" s="908">
        <v>733</v>
      </c>
      <c r="AC176" s="908">
        <v>732</v>
      </c>
      <c r="AD176" s="908">
        <v>730</v>
      </c>
      <c r="AE176" s="139">
        <f t="shared" si="419"/>
        <v>793</v>
      </c>
      <c r="AF176" s="1002">
        <v>2988</v>
      </c>
      <c r="AG176" s="908">
        <v>719</v>
      </c>
      <c r="AH176" s="908">
        <v>743</v>
      </c>
      <c r="AI176" s="908">
        <v>769</v>
      </c>
      <c r="AJ176" s="139">
        <f t="shared" si="420"/>
        <v>858</v>
      </c>
      <c r="AK176" s="1002">
        <v>3089</v>
      </c>
      <c r="AL176" s="908">
        <v>779</v>
      </c>
      <c r="AM176" s="908">
        <v>756</v>
      </c>
      <c r="AN176" s="908">
        <v>847</v>
      </c>
      <c r="AO176" s="139">
        <f t="shared" si="421"/>
        <v>1038</v>
      </c>
      <c r="AP176" s="1002">
        <v>3420</v>
      </c>
      <c r="AQ176" s="908">
        <v>832</v>
      </c>
      <c r="AR176" s="908">
        <v>881</v>
      </c>
      <c r="AS176" s="908">
        <v>869</v>
      </c>
      <c r="AT176" s="139">
        <f t="shared" si="422"/>
        <v>962</v>
      </c>
      <c r="AU176" s="1002">
        <v>3544</v>
      </c>
      <c r="AV176" s="908">
        <v>833</v>
      </c>
      <c r="AW176" s="908">
        <v>802</v>
      </c>
      <c r="AX176" s="908">
        <v>779</v>
      </c>
      <c r="AY176" s="139">
        <f t="shared" si="423"/>
        <v>835</v>
      </c>
      <c r="AZ176" s="1002">
        <v>3249</v>
      </c>
      <c r="BA176" s="908">
        <v>775</v>
      </c>
      <c r="BB176" s="908">
        <v>728</v>
      </c>
      <c r="BC176" s="908">
        <v>785</v>
      </c>
      <c r="BD176" s="139">
        <f t="shared" si="424"/>
        <v>877</v>
      </c>
      <c r="BE176" s="1002">
        <v>3165</v>
      </c>
      <c r="BF176" s="908">
        <v>739</v>
      </c>
      <c r="BG176" s="908">
        <v>694</v>
      </c>
      <c r="BH176" s="909">
        <v>747</v>
      </c>
      <c r="BI176" s="139"/>
      <c r="BJ176" s="1003"/>
      <c r="BK176" s="139"/>
      <c r="BL176" s="139"/>
      <c r="BM176" s="139"/>
      <c r="BN176" s="139"/>
      <c r="BO176" s="1003"/>
      <c r="BP176" s="1003"/>
      <c r="BQ176" s="1003"/>
      <c r="BR176" s="1003"/>
      <c r="BS176" s="113"/>
    </row>
    <row r="177" spans="1:71" s="224" customFormat="1" ht="15" hidden="1" outlineLevel="1">
      <c r="A177" s="75" t="s">
        <v>38</v>
      </c>
      <c r="B177" s="362"/>
      <c r="C177" s="1002">
        <v>72</v>
      </c>
      <c r="D177" s="1002">
        <v>149</v>
      </c>
      <c r="E177" s="1002">
        <v>196</v>
      </c>
      <c r="F177" s="1002">
        <v>261</v>
      </c>
      <c r="G177" s="1002">
        <v>293</v>
      </c>
      <c r="H177" s="908">
        <v>80</v>
      </c>
      <c r="I177" s="908">
        <v>81</v>
      </c>
      <c r="J177" s="908">
        <v>77</v>
      </c>
      <c r="K177" s="908">
        <v>79</v>
      </c>
      <c r="L177" s="1002">
        <v>317</v>
      </c>
      <c r="M177" s="908">
        <v>83</v>
      </c>
      <c r="N177" s="908">
        <v>74</v>
      </c>
      <c r="O177" s="908">
        <v>67</v>
      </c>
      <c r="P177" s="908">
        <v>65</v>
      </c>
      <c r="Q177" s="1002">
        <v>289</v>
      </c>
      <c r="R177" s="908">
        <v>65</v>
      </c>
      <c r="S177" s="908">
        <v>66</v>
      </c>
      <c r="T177" s="908">
        <v>65</v>
      </c>
      <c r="U177" s="908">
        <v>72</v>
      </c>
      <c r="V177" s="1002">
        <v>268</v>
      </c>
      <c r="W177" s="908">
        <v>62</v>
      </c>
      <c r="X177" s="908">
        <v>61</v>
      </c>
      <c r="Y177" s="908">
        <v>59</v>
      </c>
      <c r="Z177" s="139">
        <f t="shared" si="418"/>
        <v>58</v>
      </c>
      <c r="AA177" s="1002">
        <v>240</v>
      </c>
      <c r="AB177" s="908">
        <v>56</v>
      </c>
      <c r="AC177" s="908">
        <v>54</v>
      </c>
      <c r="AD177" s="908">
        <v>53</v>
      </c>
      <c r="AE177" s="139">
        <f t="shared" si="419"/>
        <v>59</v>
      </c>
      <c r="AF177" s="1002">
        <v>222</v>
      </c>
      <c r="AG177" s="908">
        <v>58</v>
      </c>
      <c r="AH177" s="908">
        <v>57</v>
      </c>
      <c r="AI177" s="908">
        <v>57</v>
      </c>
      <c r="AJ177" s="139">
        <f t="shared" si="420"/>
        <v>56</v>
      </c>
      <c r="AK177" s="1002">
        <v>228</v>
      </c>
      <c r="AL177" s="908">
        <v>55</v>
      </c>
      <c r="AM177" s="908">
        <v>63</v>
      </c>
      <c r="AN177" s="908">
        <v>63</v>
      </c>
      <c r="AO177" s="139">
        <f t="shared" si="421"/>
        <v>61</v>
      </c>
      <c r="AP177" s="1002">
        <v>242</v>
      </c>
      <c r="AQ177" s="908">
        <v>62</v>
      </c>
      <c r="AR177" s="908">
        <v>62</v>
      </c>
      <c r="AS177" s="908">
        <v>57</v>
      </c>
      <c r="AT177" s="139">
        <f t="shared" si="422"/>
        <v>57</v>
      </c>
      <c r="AU177" s="1002">
        <v>238</v>
      </c>
      <c r="AV177" s="908">
        <v>56</v>
      </c>
      <c r="AW177" s="908">
        <v>55</v>
      </c>
      <c r="AX177" s="908">
        <v>59</v>
      </c>
      <c r="AY177" s="139">
        <f t="shared" si="423"/>
        <v>56</v>
      </c>
      <c r="AZ177" s="1002">
        <v>226</v>
      </c>
      <c r="BA177" s="908">
        <v>48</v>
      </c>
      <c r="BB177" s="908">
        <v>51</v>
      </c>
      <c r="BC177" s="908">
        <v>49</v>
      </c>
      <c r="BD177" s="139">
        <f t="shared" si="424"/>
        <v>47</v>
      </c>
      <c r="BE177" s="1002">
        <v>195</v>
      </c>
      <c r="BF177" s="908">
        <v>47</v>
      </c>
      <c r="BG177" s="908">
        <v>50</v>
      </c>
      <c r="BH177" s="909">
        <v>50</v>
      </c>
      <c r="BI177" s="139"/>
      <c r="BJ177" s="1003"/>
      <c r="BK177" s="139"/>
      <c r="BL177" s="139"/>
      <c r="BM177" s="139"/>
      <c r="BN177" s="139"/>
      <c r="BO177" s="1003"/>
      <c r="BP177" s="1003"/>
      <c r="BQ177" s="1003"/>
      <c r="BR177" s="1003"/>
      <c r="BS177" s="113"/>
    </row>
    <row r="178" spans="1:71" s="224" customFormat="1" ht="15" hidden="1" outlineLevel="1">
      <c r="A178" s="74" t="s">
        <v>39</v>
      </c>
      <c r="B178" s="364"/>
      <c r="C178" s="1004">
        <v>152</v>
      </c>
      <c r="D178" s="1004">
        <v>163</v>
      </c>
      <c r="E178" s="1004">
        <v>182</v>
      </c>
      <c r="F178" s="1004">
        <v>195</v>
      </c>
      <c r="G178" s="1004">
        <v>193</v>
      </c>
      <c r="H178" s="911">
        <v>42</v>
      </c>
      <c r="I178" s="911">
        <v>44</v>
      </c>
      <c r="J178" s="911">
        <v>32</v>
      </c>
      <c r="K178" s="911">
        <v>60</v>
      </c>
      <c r="L178" s="1004">
        <v>178</v>
      </c>
      <c r="M178" s="911">
        <v>41</v>
      </c>
      <c r="N178" s="911">
        <v>272</v>
      </c>
      <c r="O178" s="911">
        <v>44</v>
      </c>
      <c r="P178" s="911">
        <v>35</v>
      </c>
      <c r="Q178" s="1004">
        <v>392</v>
      </c>
      <c r="R178" s="911">
        <v>56</v>
      </c>
      <c r="S178" s="911">
        <v>41</v>
      </c>
      <c r="T178" s="911">
        <v>50</v>
      </c>
      <c r="U178" s="911">
        <v>197</v>
      </c>
      <c r="V178" s="1004">
        <v>344</v>
      </c>
      <c r="W178" s="911">
        <v>61</v>
      </c>
      <c r="X178" s="347"/>
      <c r="Y178" s="347"/>
      <c r="Z178" s="347">
        <f t="shared" si="418"/>
        <v>-61</v>
      </c>
      <c r="AA178" s="1005"/>
      <c r="AB178" s="347"/>
      <c r="AC178" s="347"/>
      <c r="AD178" s="347"/>
      <c r="AE178" s="347">
        <f t="shared" si="419"/>
        <v>0</v>
      </c>
      <c r="AF178" s="1005"/>
      <c r="AG178" s="347"/>
      <c r="AH178" s="347"/>
      <c r="AI178" s="347"/>
      <c r="AJ178" s="347">
        <f t="shared" si="420"/>
        <v>0</v>
      </c>
      <c r="AK178" s="1005"/>
      <c r="AL178" s="347"/>
      <c r="AM178" s="347"/>
      <c r="AN178" s="347"/>
      <c r="AO178" s="347">
        <f t="shared" si="421"/>
        <v>0</v>
      </c>
      <c r="AP178" s="1005"/>
      <c r="AQ178" s="347"/>
      <c r="AR178" s="347"/>
      <c r="AS178" s="347"/>
      <c r="AT178" s="347">
        <f t="shared" si="422"/>
        <v>0</v>
      </c>
      <c r="AU178" s="1005"/>
      <c r="AV178" s="347"/>
      <c r="AW178" s="347"/>
      <c r="AX178" s="347"/>
      <c r="AY178" s="347">
        <f t="shared" si="423"/>
        <v>0</v>
      </c>
      <c r="AZ178" s="1005"/>
      <c r="BA178" s="347"/>
      <c r="BB178" s="347"/>
      <c r="BC178" s="347"/>
      <c r="BD178" s="347">
        <f t="shared" si="424"/>
        <v>0</v>
      </c>
      <c r="BE178" s="1005"/>
      <c r="BF178" s="347"/>
      <c r="BG178" s="347"/>
      <c r="BH178" s="751"/>
      <c r="BI178" s="347"/>
      <c r="BJ178" s="1005"/>
      <c r="BK178" s="347"/>
      <c r="BL178" s="347"/>
      <c r="BM178" s="347"/>
      <c r="BN178" s="347"/>
      <c r="BO178" s="1005"/>
      <c r="BP178" s="1005"/>
      <c r="BQ178" s="1005"/>
      <c r="BR178" s="1005"/>
      <c r="BS178" s="113"/>
    </row>
    <row r="179" spans="1:71" s="224" customFormat="1" ht="15" hidden="1" outlineLevel="1">
      <c r="A179" s="69" t="s">
        <v>40</v>
      </c>
      <c r="B179" s="496"/>
      <c r="C179" s="975">
        <f t="shared" si="425" ref="C179:AN179">+SUM(C174:C178)</f>
        <v>4711</v>
      </c>
      <c r="D179" s="975">
        <f t="shared" si="425"/>
        <v>5041</v>
      </c>
      <c r="E179" s="975">
        <f t="shared" si="425"/>
        <v>5472</v>
      </c>
      <c r="F179" s="975">
        <f t="shared" si="425"/>
        <v>5732</v>
      </c>
      <c r="G179" s="975">
        <f t="shared" si="425"/>
        <v>5310</v>
      </c>
      <c r="H179" s="480">
        <f t="shared" si="425"/>
        <v>1316</v>
      </c>
      <c r="I179" s="480">
        <f t="shared" si="425"/>
        <v>1307</v>
      </c>
      <c r="J179" s="480">
        <f t="shared" si="425"/>
        <v>1307</v>
      </c>
      <c r="K179" s="480">
        <f t="shared" si="425"/>
        <v>1370</v>
      </c>
      <c r="L179" s="975">
        <f t="shared" si="425"/>
        <v>5300</v>
      </c>
      <c r="M179" s="480">
        <f t="shared" si="425"/>
        <v>1261</v>
      </c>
      <c r="N179" s="480">
        <f t="shared" si="425"/>
        <v>1476</v>
      </c>
      <c r="O179" s="480">
        <f t="shared" si="425"/>
        <v>1249</v>
      </c>
      <c r="P179" s="480">
        <f t="shared" si="425"/>
        <v>1278</v>
      </c>
      <c r="Q179" s="975">
        <f t="shared" si="425"/>
        <v>5264</v>
      </c>
      <c r="R179" s="480">
        <f t="shared" si="425"/>
        <v>1309</v>
      </c>
      <c r="S179" s="480">
        <f t="shared" si="425"/>
        <v>1349</v>
      </c>
      <c r="T179" s="480">
        <f t="shared" si="425"/>
        <v>1375</v>
      </c>
      <c r="U179" s="480">
        <f t="shared" si="425"/>
        <v>1540</v>
      </c>
      <c r="V179" s="975">
        <f t="shared" si="425"/>
        <v>5573</v>
      </c>
      <c r="W179" s="480">
        <f t="shared" si="425"/>
        <v>1359</v>
      </c>
      <c r="X179" s="480">
        <f t="shared" si="425"/>
        <v>1344</v>
      </c>
      <c r="Y179" s="480">
        <f t="shared" si="425"/>
        <v>1348</v>
      </c>
      <c r="Z179" s="480">
        <f t="shared" si="425"/>
        <v>1417</v>
      </c>
      <c r="AA179" s="975">
        <f t="shared" si="425"/>
        <v>5468</v>
      </c>
      <c r="AB179" s="480">
        <f t="shared" si="425"/>
        <v>1440</v>
      </c>
      <c r="AC179" s="480">
        <f t="shared" si="425"/>
        <v>1427</v>
      </c>
      <c r="AD179" s="480">
        <f t="shared" si="425"/>
        <v>1429</v>
      </c>
      <c r="AE179" s="480">
        <f t="shared" si="425"/>
        <v>1479</v>
      </c>
      <c r="AF179" s="975">
        <f t="shared" si="425"/>
        <v>5775</v>
      </c>
      <c r="AG179" s="480">
        <f t="shared" si="425"/>
        <v>1448</v>
      </c>
      <c r="AH179" s="480">
        <f t="shared" si="425"/>
        <v>1438</v>
      </c>
      <c r="AI179" s="480">
        <f t="shared" si="425"/>
        <v>1473</v>
      </c>
      <c r="AJ179" s="480">
        <f t="shared" si="425"/>
        <v>1561</v>
      </c>
      <c r="AK179" s="975">
        <f t="shared" si="425"/>
        <v>5920</v>
      </c>
      <c r="AL179" s="480">
        <f t="shared" si="425"/>
        <v>1503</v>
      </c>
      <c r="AM179" s="480">
        <f t="shared" si="425"/>
        <v>1440</v>
      </c>
      <c r="AN179" s="480">
        <f t="shared" si="425"/>
        <v>1527</v>
      </c>
      <c r="AO179" s="480">
        <f t="shared" si="426" ref="AO179:AP179">+SUM(AO174:AO178)</f>
        <v>1722</v>
      </c>
      <c r="AP179" s="975">
        <f t="shared" si="426"/>
        <v>6192</v>
      </c>
      <c r="AQ179" s="480">
        <f t="shared" si="427" ref="AQ179">+SUM(AQ174:AQ178)</f>
        <v>1531</v>
      </c>
      <c r="AR179" s="480">
        <f t="shared" si="428" ref="AR179:AW179">+SUM(AR174:AR178)</f>
        <v>1538</v>
      </c>
      <c r="AS179" s="480">
        <f t="shared" si="428"/>
        <v>1515</v>
      </c>
      <c r="AT179" s="480">
        <f t="shared" si="428"/>
        <v>1624</v>
      </c>
      <c r="AU179" s="975">
        <f t="shared" si="428"/>
        <v>6208</v>
      </c>
      <c r="AV179" s="480">
        <f t="shared" si="428"/>
        <v>1396</v>
      </c>
      <c r="AW179" s="480">
        <f t="shared" si="428"/>
        <v>1333</v>
      </c>
      <c r="AX179" s="480">
        <f t="shared" si="429" ref="AX179:BJ179">+SUM(AX174:AX178)</f>
        <v>1299</v>
      </c>
      <c r="AY179" s="480">
        <f t="shared" si="429"/>
        <v>1356</v>
      </c>
      <c r="AZ179" s="975">
        <f t="shared" si="429"/>
        <v>5384</v>
      </c>
      <c r="BA179" s="480">
        <f t="shared" si="430" ref="BA179:BI179">+SUM(BA174:BA178)</f>
        <v>1308</v>
      </c>
      <c r="BB179" s="480">
        <f t="shared" si="430"/>
        <v>1249</v>
      </c>
      <c r="BC179" s="480">
        <f t="shared" si="430"/>
        <v>1285</v>
      </c>
      <c r="BD179" s="480">
        <f t="shared" si="430"/>
        <v>1386</v>
      </c>
      <c r="BE179" s="975">
        <f t="shared" si="430"/>
        <v>5228</v>
      </c>
      <c r="BF179" s="480">
        <f>+SUM(BF174:BF178)</f>
        <v>1256</v>
      </c>
      <c r="BG179" s="480">
        <f>+SUM(BG174:BG178)</f>
        <v>1198</v>
      </c>
      <c r="BH179" s="761">
        <f>+SUM(BH174:BH178)</f>
        <v>1262</v>
      </c>
      <c r="BI179" s="480">
        <f t="shared" si="430"/>
        <v>0</v>
      </c>
      <c r="BJ179" s="975">
        <f t="shared" si="429"/>
        <v>0</v>
      </c>
      <c r="BK179" s="480">
        <f t="shared" si="431" ref="BK179:BR179">+SUM(BK174:BK178)</f>
        <v>0</v>
      </c>
      <c r="BL179" s="480">
        <f t="shared" si="431"/>
        <v>0</v>
      </c>
      <c r="BM179" s="480">
        <f t="shared" si="431"/>
        <v>0</v>
      </c>
      <c r="BN179" s="480">
        <f t="shared" si="431"/>
        <v>0</v>
      </c>
      <c r="BO179" s="975">
        <f t="shared" si="431"/>
        <v>0</v>
      </c>
      <c r="BP179" s="975">
        <f t="shared" si="431"/>
        <v>0</v>
      </c>
      <c r="BQ179" s="975">
        <f t="shared" si="431"/>
        <v>0</v>
      </c>
      <c r="BR179" s="975">
        <f t="shared" si="431"/>
        <v>0</v>
      </c>
      <c r="BS179" s="113"/>
    </row>
    <row r="180" spans="1:71" s="44" customFormat="1" ht="15" hidden="1" outlineLevel="1">
      <c r="A180" s="68" t="s">
        <v>41</v>
      </c>
      <c r="B180" s="497"/>
      <c r="C180" s="982">
        <f t="shared" si="432" ref="C180:AN180">+C173+C179</f>
        <v>16019</v>
      </c>
      <c r="D180" s="982">
        <f t="shared" si="432"/>
        <v>17147</v>
      </c>
      <c r="E180" s="982">
        <f t="shared" si="432"/>
        <v>19221</v>
      </c>
      <c r="F180" s="982">
        <f t="shared" si="432"/>
        <v>21062</v>
      </c>
      <c r="G180" s="982">
        <f t="shared" si="432"/>
        <v>19123</v>
      </c>
      <c r="H180" s="25">
        <f t="shared" si="432"/>
        <v>4536</v>
      </c>
      <c r="I180" s="25">
        <f t="shared" si="432"/>
        <v>4600</v>
      </c>
      <c r="J180" s="25">
        <f t="shared" si="432"/>
        <v>4662</v>
      </c>
      <c r="K180" s="25">
        <f t="shared" si="432"/>
        <v>4439</v>
      </c>
      <c r="L180" s="982">
        <f t="shared" si="432"/>
        <v>18237</v>
      </c>
      <c r="M180" s="25">
        <f t="shared" si="432"/>
        <v>4213</v>
      </c>
      <c r="N180" s="25">
        <f t="shared" si="432"/>
        <v>4413</v>
      </c>
      <c r="O180" s="25">
        <f t="shared" si="432"/>
        <v>4176</v>
      </c>
      <c r="P180" s="25">
        <f t="shared" si="432"/>
        <v>4208</v>
      </c>
      <c r="Q180" s="982">
        <f t="shared" si="432"/>
        <v>17010</v>
      </c>
      <c r="R180" s="25">
        <f t="shared" si="432"/>
        <v>4334</v>
      </c>
      <c r="S180" s="25">
        <f t="shared" si="432"/>
        <v>4603</v>
      </c>
      <c r="T180" s="25">
        <f t="shared" si="432"/>
        <v>4753</v>
      </c>
      <c r="U180" s="25">
        <f t="shared" si="432"/>
        <v>4802</v>
      </c>
      <c r="V180" s="982">
        <f t="shared" si="432"/>
        <v>18492</v>
      </c>
      <c r="W180" s="25">
        <f t="shared" si="432"/>
        <v>4411</v>
      </c>
      <c r="X180" s="25">
        <f t="shared" si="432"/>
        <v>4383</v>
      </c>
      <c r="Y180" s="25">
        <f t="shared" si="432"/>
        <v>4431</v>
      </c>
      <c r="Z180" s="25">
        <f t="shared" si="432"/>
        <v>4424</v>
      </c>
      <c r="AA180" s="982">
        <f t="shared" si="432"/>
        <v>17649</v>
      </c>
      <c r="AB180" s="25">
        <f t="shared" si="432"/>
        <v>4482</v>
      </c>
      <c r="AC180" s="25">
        <f t="shared" si="432"/>
        <v>4458</v>
      </c>
      <c r="AD180" s="25">
        <f t="shared" si="432"/>
        <v>4431</v>
      </c>
      <c r="AE180" s="25">
        <f t="shared" si="432"/>
        <v>4404</v>
      </c>
      <c r="AF180" s="982">
        <f t="shared" si="432"/>
        <v>17775</v>
      </c>
      <c r="AG180" s="25">
        <f t="shared" si="432"/>
        <v>4415</v>
      </c>
      <c r="AH180" s="25">
        <f t="shared" si="432"/>
        <v>4402</v>
      </c>
      <c r="AI180" s="25">
        <f t="shared" si="432"/>
        <v>4500</v>
      </c>
      <c r="AJ180" s="25">
        <f t="shared" si="432"/>
        <v>4545</v>
      </c>
      <c r="AK180" s="982">
        <f t="shared" si="432"/>
        <v>17862</v>
      </c>
      <c r="AL180" s="25">
        <f t="shared" si="432"/>
        <v>4442</v>
      </c>
      <c r="AM180" s="25">
        <f t="shared" si="432"/>
        <v>4337</v>
      </c>
      <c r="AN180" s="25">
        <f t="shared" si="432"/>
        <v>4512</v>
      </c>
      <c r="AO180" s="25">
        <f t="shared" si="433" ref="AO180:AQ180">+AO173+AO179</f>
        <v>4697</v>
      </c>
      <c r="AP180" s="982">
        <f t="shared" si="433"/>
        <v>17988</v>
      </c>
      <c r="AQ180" s="25">
        <f t="shared" si="433"/>
        <v>4266</v>
      </c>
      <c r="AR180" s="25">
        <f t="shared" si="434" ref="AR180:AW180">+AR173+AR179</f>
        <v>4191</v>
      </c>
      <c r="AS180" s="25">
        <f t="shared" si="434"/>
        <v>4124</v>
      </c>
      <c r="AT180" s="25">
        <f t="shared" si="434"/>
        <v>4203</v>
      </c>
      <c r="AU180" s="982">
        <f t="shared" si="434"/>
        <v>16784</v>
      </c>
      <c r="AV180" s="25">
        <f t="shared" si="434"/>
        <v>3879</v>
      </c>
      <c r="AW180" s="25">
        <f t="shared" si="434"/>
        <v>3607</v>
      </c>
      <c r="AX180" s="25">
        <f t="shared" si="435" ref="AX180:BJ180">+AX173+AX179</f>
        <v>3375</v>
      </c>
      <c r="AY180" s="25">
        <f t="shared" si="435"/>
        <v>3410</v>
      </c>
      <c r="AZ180" s="982">
        <f t="shared" si="435"/>
        <v>14271</v>
      </c>
      <c r="BA180" s="25">
        <f t="shared" si="436" ref="BA180:BI180">+BA173+BA179</f>
        <v>3458</v>
      </c>
      <c r="BB180" s="25">
        <f t="shared" si="436"/>
        <v>3347</v>
      </c>
      <c r="BC180" s="25">
        <f t="shared" si="436"/>
        <v>3145</v>
      </c>
      <c r="BD180" s="25">
        <f t="shared" si="436"/>
        <v>3489</v>
      </c>
      <c r="BE180" s="982">
        <f t="shared" si="436"/>
        <v>13439</v>
      </c>
      <c r="BF180" s="25">
        <f>+BF173+BF179</f>
        <v>3266</v>
      </c>
      <c r="BG180" s="25">
        <f>+BG173+BG179</f>
        <v>3119</v>
      </c>
      <c r="BH180" s="749">
        <f>+BH173+BH179</f>
        <v>2857</v>
      </c>
      <c r="BI180" s="25">
        <f t="shared" si="436"/>
        <v>0</v>
      </c>
      <c r="BJ180" s="982">
        <f t="shared" si="435"/>
        <v>0</v>
      </c>
      <c r="BK180" s="25">
        <f t="shared" si="437" ref="BK180:BR180">+BK173+BK179</f>
        <v>0</v>
      </c>
      <c r="BL180" s="25">
        <f t="shared" si="437"/>
        <v>0</v>
      </c>
      <c r="BM180" s="25">
        <f t="shared" si="437"/>
        <v>0</v>
      </c>
      <c r="BN180" s="25">
        <f t="shared" si="437"/>
        <v>0</v>
      </c>
      <c r="BO180" s="982">
        <f t="shared" si="437"/>
        <v>0</v>
      </c>
      <c r="BP180" s="982">
        <f t="shared" si="437"/>
        <v>0</v>
      </c>
      <c r="BQ180" s="982">
        <f t="shared" si="437"/>
        <v>0</v>
      </c>
      <c r="BR180" s="982">
        <f t="shared" si="437"/>
        <v>0</v>
      </c>
      <c r="BS180" s="124"/>
    </row>
    <row r="181" spans="1:71" s="44" customFormat="1" ht="15" hidden="1" outlineLevel="1">
      <c r="A181" s="76" t="s">
        <v>42</v>
      </c>
      <c r="B181" s="498"/>
      <c r="C181" s="978">
        <f t="shared" si="438" ref="C181:AN181">+C172-C180</f>
        <v>2235</v>
      </c>
      <c r="D181" s="978">
        <f t="shared" si="438"/>
        <v>3585</v>
      </c>
      <c r="E181" s="978">
        <f t="shared" si="438"/>
        <v>2950</v>
      </c>
      <c r="F181" s="978">
        <f t="shared" si="438"/>
        <v>4302</v>
      </c>
      <c r="G181" s="978">
        <f t="shared" si="438"/>
        <v>4816</v>
      </c>
      <c r="H181" s="185">
        <f t="shared" si="438"/>
        <v>1104</v>
      </c>
      <c r="I181" s="185">
        <f t="shared" si="438"/>
        <v>1238</v>
      </c>
      <c r="J181" s="185">
        <f t="shared" si="438"/>
        <v>1074</v>
      </c>
      <c r="K181" s="185">
        <f t="shared" si="438"/>
        <v>1075</v>
      </c>
      <c r="L181" s="978">
        <f t="shared" si="438"/>
        <v>4491</v>
      </c>
      <c r="M181" s="185">
        <f t="shared" si="438"/>
        <v>1013</v>
      </c>
      <c r="N181" s="185">
        <f t="shared" si="438"/>
        <v>874</v>
      </c>
      <c r="O181" s="185">
        <f t="shared" si="438"/>
        <v>864</v>
      </c>
      <c r="P181" s="185">
        <f t="shared" si="438"/>
        <v>1111</v>
      </c>
      <c r="Q181" s="978">
        <f t="shared" si="438"/>
        <v>3862</v>
      </c>
      <c r="R181" s="185">
        <f t="shared" si="438"/>
        <v>1117</v>
      </c>
      <c r="S181" s="185">
        <f t="shared" si="438"/>
        <v>834</v>
      </c>
      <c r="T181" s="185">
        <f t="shared" si="438"/>
        <v>963</v>
      </c>
      <c r="U181" s="185">
        <f t="shared" si="438"/>
        <v>1153</v>
      </c>
      <c r="V181" s="978">
        <f t="shared" si="438"/>
        <v>4067</v>
      </c>
      <c r="W181" s="185">
        <f t="shared" si="438"/>
        <v>898</v>
      </c>
      <c r="X181" s="185">
        <f t="shared" si="438"/>
        <v>1045</v>
      </c>
      <c r="Y181" s="185">
        <f t="shared" si="438"/>
        <v>1075</v>
      </c>
      <c r="Z181" s="185">
        <f t="shared" si="438"/>
        <v>1000</v>
      </c>
      <c r="AA181" s="978">
        <f t="shared" si="438"/>
        <v>4018</v>
      </c>
      <c r="AB181" s="185">
        <f t="shared" si="438"/>
        <v>982</v>
      </c>
      <c r="AC181" s="185">
        <f t="shared" si="438"/>
        <v>1131</v>
      </c>
      <c r="AD181" s="185">
        <f t="shared" si="438"/>
        <v>1146</v>
      </c>
      <c r="AE181" s="185">
        <f t="shared" si="438"/>
        <v>724</v>
      </c>
      <c r="AF181" s="978">
        <f t="shared" si="438"/>
        <v>3983</v>
      </c>
      <c r="AG181" s="185">
        <f t="shared" si="438"/>
        <v>1242</v>
      </c>
      <c r="AH181" s="185">
        <f t="shared" si="438"/>
        <v>1109</v>
      </c>
      <c r="AI181" s="185">
        <f t="shared" si="438"/>
        <v>1036</v>
      </c>
      <c r="AJ181" s="185">
        <f t="shared" si="438"/>
        <v>1058</v>
      </c>
      <c r="AK181" s="978">
        <f t="shared" si="438"/>
        <v>4445</v>
      </c>
      <c r="AL181" s="185">
        <f t="shared" si="438"/>
        <v>720</v>
      </c>
      <c r="AM181" s="185">
        <f t="shared" si="438"/>
        <v>1070</v>
      </c>
      <c r="AN181" s="185">
        <f t="shared" si="438"/>
        <v>1153</v>
      </c>
      <c r="AO181" s="185">
        <f t="shared" si="439" ref="AO181:AQ181">+AO172-AO180</f>
        <v>1216</v>
      </c>
      <c r="AP181" s="978">
        <f t="shared" si="439"/>
        <v>4159</v>
      </c>
      <c r="AQ181" s="185">
        <f t="shared" si="439"/>
        <v>1603</v>
      </c>
      <c r="AR181" s="185">
        <f t="shared" si="440" ref="AR181:AW181">+AR172-AR180</f>
        <v>1373</v>
      </c>
      <c r="AS181" s="185">
        <f t="shared" si="440"/>
        <v>1113</v>
      </c>
      <c r="AT181" s="185">
        <f t="shared" si="440"/>
        <v>1233</v>
      </c>
      <c r="AU181" s="978">
        <f t="shared" si="440"/>
        <v>5322</v>
      </c>
      <c r="AV181" s="185">
        <f t="shared" si="440"/>
        <v>1294</v>
      </c>
      <c r="AW181" s="185">
        <f t="shared" si="440"/>
        <v>1708</v>
      </c>
      <c r="AX181" s="185">
        <f t="shared" si="441" ref="AX181:BJ181">+AX172-AX180</f>
        <v>1329</v>
      </c>
      <c r="AY181" s="185">
        <f t="shared" si="441"/>
        <v>538</v>
      </c>
      <c r="AZ181" s="978">
        <f t="shared" si="441"/>
        <v>4869</v>
      </c>
      <c r="BA181" s="185">
        <f t="shared" si="442" ref="BA181:BI181">+BA172-BA180</f>
        <v>1342</v>
      </c>
      <c r="BB181" s="185">
        <f t="shared" si="442"/>
        <v>1825</v>
      </c>
      <c r="BC181" s="185">
        <f t="shared" si="442"/>
        <v>1805</v>
      </c>
      <c r="BD181" s="185">
        <f t="shared" si="442"/>
        <v>290</v>
      </c>
      <c r="BE181" s="978">
        <f t="shared" si="442"/>
        <v>5262</v>
      </c>
      <c r="BF181" s="185">
        <f>+BF172-BF180</f>
        <v>2170</v>
      </c>
      <c r="BG181" s="185">
        <f>+BG172-BG180</f>
        <v>2019</v>
      </c>
      <c r="BH181" s="552">
        <f>+BH172-BH180</f>
        <v>92</v>
      </c>
      <c r="BI181" s="185">
        <f t="shared" si="442"/>
        <v>0</v>
      </c>
      <c r="BJ181" s="978">
        <f t="shared" si="441"/>
        <v>0</v>
      </c>
      <c r="BK181" s="185">
        <f t="shared" si="443" ref="BK181:BR181">+BK172-BK180</f>
        <v>0</v>
      </c>
      <c r="BL181" s="185">
        <f t="shared" si="443"/>
        <v>0</v>
      </c>
      <c r="BM181" s="185">
        <f t="shared" si="443"/>
        <v>0</v>
      </c>
      <c r="BN181" s="185">
        <f t="shared" si="443"/>
        <v>0</v>
      </c>
      <c r="BO181" s="978">
        <f t="shared" si="443"/>
        <v>0</v>
      </c>
      <c r="BP181" s="978">
        <f t="shared" si="443"/>
        <v>0</v>
      </c>
      <c r="BQ181" s="978">
        <f t="shared" si="443"/>
        <v>0</v>
      </c>
      <c r="BR181" s="978">
        <f t="shared" si="443"/>
        <v>0</v>
      </c>
      <c r="BS181" s="124"/>
    </row>
    <row r="182" spans="1:71" s="224" customFormat="1" ht="15" hidden="1" outlineLevel="1">
      <c r="A182" s="607" t="s">
        <v>43</v>
      </c>
      <c r="B182" s="364"/>
      <c r="C182" s="1004">
        <v>738</v>
      </c>
      <c r="D182" s="1004">
        <v>1241</v>
      </c>
      <c r="E182" s="1004">
        <v>1013</v>
      </c>
      <c r="F182" s="1004">
        <v>1436</v>
      </c>
      <c r="G182" s="1004">
        <v>1658</v>
      </c>
      <c r="H182" s="911">
        <v>372</v>
      </c>
      <c r="I182" s="911">
        <v>428</v>
      </c>
      <c r="J182" s="911">
        <v>368</v>
      </c>
      <c r="K182" s="911">
        <v>372</v>
      </c>
      <c r="L182" s="1004">
        <v>1540</v>
      </c>
      <c r="M182" s="911">
        <v>350</v>
      </c>
      <c r="N182" s="911">
        <v>301</v>
      </c>
      <c r="O182" s="911">
        <v>297</v>
      </c>
      <c r="P182" s="911">
        <v>381</v>
      </c>
      <c r="Q182" s="1004">
        <v>1329</v>
      </c>
      <c r="R182" s="911">
        <v>386</v>
      </c>
      <c r="S182" s="911">
        <v>286</v>
      </c>
      <c r="T182" s="911">
        <v>334</v>
      </c>
      <c r="U182" s="911">
        <v>402</v>
      </c>
      <c r="V182" s="1004">
        <v>1408</v>
      </c>
      <c r="W182" s="911">
        <v>306</v>
      </c>
      <c r="X182" s="911">
        <v>332</v>
      </c>
      <c r="Y182" s="911">
        <v>359</v>
      </c>
      <c r="Z182" s="347">
        <f>AA182-Y182-X182-W182</f>
        <v>-1583</v>
      </c>
      <c r="AA182" s="1004">
        <v>-586</v>
      </c>
      <c r="AB182" s="911">
        <v>265</v>
      </c>
      <c r="AC182" s="911">
        <v>299</v>
      </c>
      <c r="AD182" s="911">
        <v>301</v>
      </c>
      <c r="AE182" s="347">
        <f>AF182-AD182-AC182-AB182</f>
        <v>198</v>
      </c>
      <c r="AF182" s="1004">
        <v>1063</v>
      </c>
      <c r="AG182" s="911">
        <v>314</v>
      </c>
      <c r="AH182" s="911">
        <v>292</v>
      </c>
      <c r="AI182" s="911">
        <v>259</v>
      </c>
      <c r="AJ182" s="347">
        <f>AK182-AI182-AH182-AG182</f>
        <v>276</v>
      </c>
      <c r="AK182" s="1004">
        <v>1141</v>
      </c>
      <c r="AL182" s="911">
        <v>154</v>
      </c>
      <c r="AM182" s="911">
        <v>265</v>
      </c>
      <c r="AN182" s="911">
        <v>-1303</v>
      </c>
      <c r="AO182" s="347">
        <f>AP182-SUM(AL182,AM182,AN182)</f>
        <v>265</v>
      </c>
      <c r="AP182" s="1004">
        <v>-619</v>
      </c>
      <c r="AQ182" s="911">
        <v>310</v>
      </c>
      <c r="AR182" s="911">
        <v>268</v>
      </c>
      <c r="AS182" s="911">
        <v>225</v>
      </c>
      <c r="AT182" s="347">
        <f>AU182-SUM(AQ182,AR182,AS182)</f>
        <v>194</v>
      </c>
      <c r="AU182" s="1004">
        <v>997</v>
      </c>
      <c r="AV182" s="911">
        <v>247</v>
      </c>
      <c r="AW182" s="911">
        <v>314</v>
      </c>
      <c r="AX182" s="911">
        <v>-452</v>
      </c>
      <c r="AY182" s="347">
        <f>AZ182-SUM(AV182,AW182,AX182)</f>
        <v>342</v>
      </c>
      <c r="AZ182" s="1004">
        <v>451</v>
      </c>
      <c r="BA182" s="911">
        <v>154</v>
      </c>
      <c r="BB182" s="911">
        <v>191</v>
      </c>
      <c r="BC182" s="911">
        <v>236</v>
      </c>
      <c r="BD182" s="347">
        <f>BE182-SUM(BA182,BB182,BC182)</f>
        <v>22</v>
      </c>
      <c r="BE182" s="1002">
        <v>603</v>
      </c>
      <c r="BF182" s="911">
        <v>291</v>
      </c>
      <c r="BG182" s="911">
        <v>264</v>
      </c>
      <c r="BH182" s="915">
        <v>185</v>
      </c>
      <c r="BI182" s="347"/>
      <c r="BJ182" s="1005"/>
      <c r="BK182" s="347"/>
      <c r="BL182" s="347"/>
      <c r="BM182" s="347"/>
      <c r="BN182" s="347"/>
      <c r="BO182" s="1005"/>
      <c r="BP182" s="1005"/>
      <c r="BQ182" s="1005"/>
      <c r="BR182" s="1005"/>
      <c r="BS182" s="113"/>
    </row>
    <row r="183" spans="1:71" s="44" customFormat="1" ht="15" hidden="1" outlineLevel="1">
      <c r="A183" s="72" t="s">
        <v>44</v>
      </c>
      <c r="B183" s="188"/>
      <c r="C183" s="1008">
        <f t="shared" si="444" ref="C183:AN183">+C181-C182</f>
        <v>1497</v>
      </c>
      <c r="D183" s="1008">
        <f t="shared" si="444"/>
        <v>2344</v>
      </c>
      <c r="E183" s="1008">
        <f t="shared" si="444"/>
        <v>1937</v>
      </c>
      <c r="F183" s="1008">
        <f t="shared" si="444"/>
        <v>2866</v>
      </c>
      <c r="G183" s="1008">
        <f t="shared" si="444"/>
        <v>3158</v>
      </c>
      <c r="H183" s="31">
        <f t="shared" si="444"/>
        <v>732</v>
      </c>
      <c r="I183" s="31">
        <f t="shared" si="444"/>
        <v>810</v>
      </c>
      <c r="J183" s="31">
        <f t="shared" si="444"/>
        <v>706</v>
      </c>
      <c r="K183" s="31">
        <f t="shared" si="444"/>
        <v>703</v>
      </c>
      <c r="L183" s="1008">
        <f t="shared" si="444"/>
        <v>2951</v>
      </c>
      <c r="M183" s="31">
        <f t="shared" si="444"/>
        <v>663</v>
      </c>
      <c r="N183" s="31">
        <f t="shared" si="444"/>
        <v>573</v>
      </c>
      <c r="O183" s="31">
        <f t="shared" si="444"/>
        <v>567</v>
      </c>
      <c r="P183" s="31">
        <f t="shared" si="444"/>
        <v>730</v>
      </c>
      <c r="Q183" s="1008">
        <f t="shared" si="444"/>
        <v>2533</v>
      </c>
      <c r="R183" s="31">
        <f t="shared" si="444"/>
        <v>731</v>
      </c>
      <c r="S183" s="31">
        <f t="shared" si="444"/>
        <v>548</v>
      </c>
      <c r="T183" s="31">
        <f t="shared" si="444"/>
        <v>629</v>
      </c>
      <c r="U183" s="31">
        <f t="shared" si="444"/>
        <v>751</v>
      </c>
      <c r="V183" s="1008">
        <f t="shared" si="444"/>
        <v>2659</v>
      </c>
      <c r="W183" s="31">
        <f t="shared" si="444"/>
        <v>592</v>
      </c>
      <c r="X183" s="31">
        <f t="shared" si="444"/>
        <v>713</v>
      </c>
      <c r="Y183" s="31">
        <f t="shared" si="444"/>
        <v>716</v>
      </c>
      <c r="Z183" s="31">
        <f t="shared" si="444"/>
        <v>2583</v>
      </c>
      <c r="AA183" s="1008">
        <f t="shared" si="444"/>
        <v>4604</v>
      </c>
      <c r="AB183" s="31">
        <f t="shared" si="444"/>
        <v>717</v>
      </c>
      <c r="AC183" s="31">
        <f t="shared" si="444"/>
        <v>832</v>
      </c>
      <c r="AD183" s="31">
        <f t="shared" si="444"/>
        <v>845</v>
      </c>
      <c r="AE183" s="31">
        <f t="shared" si="444"/>
        <v>526</v>
      </c>
      <c r="AF183" s="1008">
        <f t="shared" si="444"/>
        <v>2920</v>
      </c>
      <c r="AG183" s="31">
        <f t="shared" si="444"/>
        <v>928</v>
      </c>
      <c r="AH183" s="31">
        <f t="shared" si="444"/>
        <v>817</v>
      </c>
      <c r="AI183" s="31">
        <f t="shared" si="444"/>
        <v>777</v>
      </c>
      <c r="AJ183" s="31">
        <f t="shared" si="444"/>
        <v>782</v>
      </c>
      <c r="AK183" s="1008">
        <f t="shared" si="444"/>
        <v>3304</v>
      </c>
      <c r="AL183" s="31">
        <f t="shared" si="444"/>
        <v>566</v>
      </c>
      <c r="AM183" s="31">
        <f t="shared" si="444"/>
        <v>805</v>
      </c>
      <c r="AN183" s="31">
        <f t="shared" si="444"/>
        <v>2456</v>
      </c>
      <c r="AO183" s="31">
        <f t="shared" si="445" ref="AO183:AQ183">+AO181-AO182</f>
        <v>951</v>
      </c>
      <c r="AP183" s="1008">
        <f t="shared" si="445"/>
        <v>4778</v>
      </c>
      <c r="AQ183" s="31">
        <f t="shared" si="445"/>
        <v>1293</v>
      </c>
      <c r="AR183" s="31">
        <f t="shared" si="446" ref="AR183:AW183">+AR181-AR182</f>
        <v>1105</v>
      </c>
      <c r="AS183" s="31">
        <f t="shared" si="446"/>
        <v>888</v>
      </c>
      <c r="AT183" s="31">
        <f t="shared" si="446"/>
        <v>1039</v>
      </c>
      <c r="AU183" s="1008">
        <f t="shared" si="446"/>
        <v>4325</v>
      </c>
      <c r="AV183" s="31">
        <f t="shared" si="446"/>
        <v>1047</v>
      </c>
      <c r="AW183" s="31">
        <f t="shared" si="446"/>
        <v>1394</v>
      </c>
      <c r="AX183" s="31">
        <f t="shared" si="447" ref="AX183:BJ183">+AX181-AX182</f>
        <v>1781</v>
      </c>
      <c r="AY183" s="31">
        <f t="shared" si="447"/>
        <v>196</v>
      </c>
      <c r="AZ183" s="1008">
        <f t="shared" si="447"/>
        <v>4418</v>
      </c>
      <c r="BA183" s="31">
        <f t="shared" si="448" ref="BA183:BI183">+BA181-BA182</f>
        <v>1188</v>
      </c>
      <c r="BB183" s="31">
        <f t="shared" si="448"/>
        <v>1634</v>
      </c>
      <c r="BC183" s="31">
        <f t="shared" si="448"/>
        <v>1569</v>
      </c>
      <c r="BD183" s="31">
        <f t="shared" si="448"/>
        <v>268</v>
      </c>
      <c r="BE183" s="1008">
        <f t="shared" si="448"/>
        <v>4659</v>
      </c>
      <c r="BF183" s="31">
        <f>+BF181-BF182</f>
        <v>1879</v>
      </c>
      <c r="BG183" s="31">
        <f>+BG181-BG182</f>
        <v>1755</v>
      </c>
      <c r="BH183" s="756">
        <f>+BH181-BH182</f>
        <v>-93</v>
      </c>
      <c r="BI183" s="31">
        <f t="shared" si="448"/>
        <v>0</v>
      </c>
      <c r="BJ183" s="1008">
        <f t="shared" si="447"/>
        <v>0</v>
      </c>
      <c r="BK183" s="31">
        <f t="shared" si="449" ref="BK183:BR183">+BK181-BK182</f>
        <v>0</v>
      </c>
      <c r="BL183" s="31">
        <f t="shared" si="449"/>
        <v>0</v>
      </c>
      <c r="BM183" s="31">
        <f t="shared" si="449"/>
        <v>0</v>
      </c>
      <c r="BN183" s="31">
        <f t="shared" si="449"/>
        <v>0</v>
      </c>
      <c r="BO183" s="1008">
        <f t="shared" si="449"/>
        <v>0</v>
      </c>
      <c r="BP183" s="1008">
        <f t="shared" si="449"/>
        <v>0</v>
      </c>
      <c r="BQ183" s="1008">
        <f t="shared" si="449"/>
        <v>0</v>
      </c>
      <c r="BR183" s="1008">
        <f t="shared" si="449"/>
        <v>0</v>
      </c>
      <c r="BS183" s="100"/>
    </row>
    <row r="184" spans="1:71" s="223" customFormat="1" ht="15" hidden="1" outlineLevel="1">
      <c r="A184" s="141"/>
      <c r="B184" s="499"/>
      <c r="C184" s="1009"/>
      <c r="D184" s="1009"/>
      <c r="E184" s="1009"/>
      <c r="F184" s="1009"/>
      <c r="G184" s="1009"/>
      <c r="H184" s="835"/>
      <c r="I184" s="835"/>
      <c r="J184" s="835"/>
      <c r="K184" s="835"/>
      <c r="L184" s="1009"/>
      <c r="M184" s="835"/>
      <c r="N184" s="835"/>
      <c r="O184" s="835"/>
      <c r="P184" s="835"/>
      <c r="Q184" s="1009"/>
      <c r="R184" s="835"/>
      <c r="S184" s="835"/>
      <c r="T184" s="835"/>
      <c r="U184" s="835"/>
      <c r="V184" s="1009"/>
      <c r="W184" s="835"/>
      <c r="X184" s="835"/>
      <c r="Y184" s="835"/>
      <c r="Z184" s="835"/>
      <c r="AA184" s="1009"/>
      <c r="AB184" s="835"/>
      <c r="AC184" s="835"/>
      <c r="AD184" s="835"/>
      <c r="AE184" s="835"/>
      <c r="AF184" s="1009"/>
      <c r="AG184" s="835"/>
      <c r="AH184" s="835"/>
      <c r="AI184" s="835"/>
      <c r="AJ184" s="835"/>
      <c r="AK184" s="1009"/>
      <c r="AL184" s="835"/>
      <c r="AM184" s="835"/>
      <c r="AN184" s="835"/>
      <c r="AO184" s="835"/>
      <c r="AP184" s="1009"/>
      <c r="AQ184" s="835"/>
      <c r="AR184" s="835"/>
      <c r="AS184" s="835"/>
      <c r="AT184" s="835"/>
      <c r="AU184" s="1009"/>
      <c r="AV184" s="835"/>
      <c r="AW184" s="835"/>
      <c r="AX184" s="835"/>
      <c r="AY184" s="835"/>
      <c r="AZ184" s="1009"/>
      <c r="BA184" s="835"/>
      <c r="BB184" s="835"/>
      <c r="BC184" s="832"/>
      <c r="BD184" s="832"/>
      <c r="BE184" s="999"/>
      <c r="BF184" s="835"/>
      <c r="BG184" s="835"/>
      <c r="BH184" s="833"/>
      <c r="BI184" s="835"/>
      <c r="BJ184" s="1009"/>
      <c r="BK184" s="835"/>
      <c r="BL184" s="835"/>
      <c r="BM184" s="835"/>
      <c r="BN184" s="835"/>
      <c r="BO184" s="1009"/>
      <c r="BP184" s="1009"/>
      <c r="BQ184" s="1009"/>
      <c r="BR184" s="1009"/>
      <c r="BS184" s="816"/>
    </row>
    <row r="185" spans="1:71" s="223" customFormat="1" ht="15" hidden="1" outlineLevel="1">
      <c r="A185" s="80" t="s">
        <v>45</v>
      </c>
      <c r="B185" s="80"/>
      <c r="C185" s="852">
        <f t="shared" si="450" ref="C185:AH185">IF(ISBLANK(INDEX(MO_IS_FirstRow,0,COLUMN())),0,ROUND(C183-C365,6))</f>
        <v>0</v>
      </c>
      <c r="D185" s="852">
        <f t="shared" si="450"/>
        <v>0</v>
      </c>
      <c r="E185" s="852">
        <f t="shared" si="450"/>
        <v>0</v>
      </c>
      <c r="F185" s="852">
        <f t="shared" si="450"/>
        <v>0</v>
      </c>
      <c r="G185" s="852">
        <f t="shared" si="450"/>
        <v>0</v>
      </c>
      <c r="H185" s="852">
        <f t="shared" si="450"/>
        <v>0</v>
      </c>
      <c r="I185" s="852">
        <f t="shared" si="450"/>
        <v>0</v>
      </c>
      <c r="J185" s="852">
        <f t="shared" si="450"/>
        <v>0</v>
      </c>
      <c r="K185" s="852">
        <f t="shared" si="450"/>
        <v>0</v>
      </c>
      <c r="L185" s="852">
        <f t="shared" si="450"/>
        <v>0</v>
      </c>
      <c r="M185" s="852">
        <f t="shared" si="450"/>
        <v>0</v>
      </c>
      <c r="N185" s="852">
        <f t="shared" si="450"/>
        <v>0</v>
      </c>
      <c r="O185" s="852">
        <f t="shared" si="450"/>
        <v>0</v>
      </c>
      <c r="P185" s="852">
        <f t="shared" si="450"/>
        <v>0</v>
      </c>
      <c r="Q185" s="852">
        <f t="shared" si="450"/>
        <v>0</v>
      </c>
      <c r="R185" s="852">
        <f t="shared" si="450"/>
        <v>0</v>
      </c>
      <c r="S185" s="852">
        <f t="shared" si="450"/>
        <v>0</v>
      </c>
      <c r="T185" s="852">
        <f t="shared" si="450"/>
        <v>0</v>
      </c>
      <c r="U185" s="852">
        <f t="shared" si="450"/>
        <v>0</v>
      </c>
      <c r="V185" s="852">
        <f t="shared" si="450"/>
        <v>0</v>
      </c>
      <c r="W185" s="852">
        <f t="shared" si="450"/>
        <v>0</v>
      </c>
      <c r="X185" s="852">
        <f t="shared" si="450"/>
        <v>0</v>
      </c>
      <c r="Y185" s="852">
        <f t="shared" si="450"/>
        <v>0</v>
      </c>
      <c r="Z185" s="852">
        <f t="shared" si="450"/>
        <v>0</v>
      </c>
      <c r="AA185" s="852">
        <f t="shared" si="450"/>
        <v>0</v>
      </c>
      <c r="AB185" s="852">
        <f t="shared" si="450"/>
        <v>0</v>
      </c>
      <c r="AC185" s="852">
        <f t="shared" si="450"/>
        <v>-1</v>
      </c>
      <c r="AD185" s="852">
        <f t="shared" si="450"/>
        <v>0</v>
      </c>
      <c r="AE185" s="852">
        <f t="shared" si="450"/>
        <v>1</v>
      </c>
      <c r="AF185" s="852">
        <f t="shared" si="450"/>
        <v>0</v>
      </c>
      <c r="AG185" s="852">
        <f t="shared" si="450"/>
        <v>0</v>
      </c>
      <c r="AH185" s="852">
        <f t="shared" si="450"/>
        <v>0</v>
      </c>
      <c r="AI185" s="852">
        <f t="shared" si="451" ref="AI185:AW185">IF(ISBLANK(INDEX(MO_IS_FirstRow,0,COLUMN())),0,ROUND(AI183-AI365,6))</f>
        <v>-1</v>
      </c>
      <c r="AJ185" s="852">
        <f t="shared" si="451"/>
        <v>1</v>
      </c>
      <c r="AK185" s="852">
        <f t="shared" si="451"/>
        <v>0</v>
      </c>
      <c r="AL185" s="852">
        <f t="shared" si="451"/>
        <v>0</v>
      </c>
      <c r="AM185" s="852">
        <f t="shared" si="451"/>
        <v>1</v>
      </c>
      <c r="AN185" s="852">
        <f t="shared" si="451"/>
        <v>0</v>
      </c>
      <c r="AO185" s="852">
        <f t="shared" si="451"/>
        <v>-1</v>
      </c>
      <c r="AP185" s="852">
        <f t="shared" si="451"/>
        <v>0</v>
      </c>
      <c r="AQ185" s="852">
        <f t="shared" si="451"/>
        <v>0</v>
      </c>
      <c r="AR185" s="852">
        <f t="shared" si="451"/>
        <v>0</v>
      </c>
      <c r="AS185" s="852">
        <f t="shared" si="451"/>
        <v>0</v>
      </c>
      <c r="AT185" s="852">
        <f t="shared" si="451"/>
        <v>0</v>
      </c>
      <c r="AU185" s="852">
        <f t="shared" si="451"/>
        <v>0</v>
      </c>
      <c r="AV185" s="852">
        <f t="shared" si="451"/>
        <v>0</v>
      </c>
      <c r="AW185" s="852">
        <f t="shared" si="451"/>
        <v>0</v>
      </c>
      <c r="AX185" s="852">
        <f t="shared" si="452" ref="AX185:AZ185">IF(ISBLANK(INDEX(MO_IS_FirstRow,0,COLUMN())),0,ROUND(AX183-AX365,6))</f>
        <v>0</v>
      </c>
      <c r="AY185" s="852">
        <f t="shared" si="452"/>
        <v>0</v>
      </c>
      <c r="AZ185" s="852">
        <f t="shared" si="452"/>
        <v>0</v>
      </c>
      <c r="BA185" s="852">
        <f t="shared" si="453" ref="BA185:BR185">IF(ISBLANK(INDEX(MO_IS_FirstRow,0,COLUMN())),0,ROUND(BA183-BA365,6))</f>
        <v>0</v>
      </c>
      <c r="BB185" s="852">
        <f t="shared" si="453"/>
        <v>0</v>
      </c>
      <c r="BC185" s="852">
        <f t="shared" si="453"/>
        <v>0</v>
      </c>
      <c r="BD185" s="852">
        <f t="shared" si="453"/>
        <v>0</v>
      </c>
      <c r="BE185" s="852">
        <f t="shared" si="453"/>
        <v>0</v>
      </c>
      <c r="BF185" s="852">
        <f>IF(ISBLANK(INDEX(MO_IS_FirstRow,0,COLUMN())),0,ROUND(BF183-BF365,6))</f>
        <v>0</v>
      </c>
      <c r="BG185" s="852">
        <f>IF(ISBLANK(INDEX(MO_IS_FirstRow,0,COLUMN())),0,ROUND(BG183-BG365,6))</f>
        <v>0</v>
      </c>
      <c r="BH185" s="853">
        <f>IF(ISBLANK(INDEX(MO_IS_FirstRow,0,COLUMN())),0,ROUND(BH183-BH365,6))</f>
        <v>0</v>
      </c>
      <c r="BI185" s="852">
        <f t="shared" si="453"/>
        <v>0</v>
      </c>
      <c r="BJ185" s="852">
        <f t="shared" si="453"/>
        <v>0</v>
      </c>
      <c r="BK185" s="852">
        <f t="shared" si="453"/>
        <v>0</v>
      </c>
      <c r="BL185" s="852">
        <f t="shared" si="453"/>
        <v>0</v>
      </c>
      <c r="BM185" s="852">
        <f t="shared" si="453"/>
        <v>0</v>
      </c>
      <c r="BN185" s="852">
        <f t="shared" si="453"/>
        <v>0</v>
      </c>
      <c r="BO185" s="852">
        <f t="shared" si="453"/>
        <v>0</v>
      </c>
      <c r="BP185" s="852">
        <f t="shared" si="453"/>
        <v>0</v>
      </c>
      <c r="BQ185" s="852">
        <f t="shared" si="453"/>
        <v>0</v>
      </c>
      <c r="BR185" s="852">
        <f t="shared" si="453"/>
        <v>0</v>
      </c>
      <c r="BS185" s="816"/>
    </row>
    <row r="186" spans="1:71" s="223" customFormat="1" ht="15" collapsed="1">
      <c r="A186" s="387"/>
      <c r="B186" s="500"/>
      <c r="C186" s="999"/>
      <c r="D186" s="999"/>
      <c r="E186" s="999"/>
      <c r="F186" s="999"/>
      <c r="G186" s="999"/>
      <c r="H186" s="832"/>
      <c r="I186" s="832"/>
      <c r="J186" s="832"/>
      <c r="K186" s="832"/>
      <c r="L186" s="999"/>
      <c r="M186" s="832"/>
      <c r="N186" s="832"/>
      <c r="O186" s="832"/>
      <c r="P186" s="832"/>
      <c r="Q186" s="999"/>
      <c r="R186" s="832"/>
      <c r="S186" s="832"/>
      <c r="T186" s="832"/>
      <c r="U186" s="832"/>
      <c r="V186" s="999"/>
      <c r="W186" s="832"/>
      <c r="X186" s="832"/>
      <c r="Y186" s="832"/>
      <c r="Z186" s="832"/>
      <c r="AA186" s="999"/>
      <c r="AB186" s="832"/>
      <c r="AC186" s="832"/>
      <c r="AD186" s="832"/>
      <c r="AE186" s="832"/>
      <c r="AF186" s="999"/>
      <c r="AG186" s="832"/>
      <c r="AH186" s="832"/>
      <c r="AI186" s="832"/>
      <c r="AJ186" s="832"/>
      <c r="AK186" s="999"/>
      <c r="AL186" s="832"/>
      <c r="AM186" s="832"/>
      <c r="AN186" s="832"/>
      <c r="AO186" s="832"/>
      <c r="AP186" s="999"/>
      <c r="AQ186" s="832"/>
      <c r="AR186" s="832"/>
      <c r="AS186" s="832"/>
      <c r="AT186" s="832"/>
      <c r="AU186" s="999"/>
      <c r="AV186" s="832"/>
      <c r="AW186" s="832"/>
      <c r="AX186" s="832"/>
      <c r="AY186" s="832"/>
      <c r="AZ186" s="999"/>
      <c r="BA186" s="832"/>
      <c r="BB186" s="832"/>
      <c r="BC186" s="832"/>
      <c r="BD186" s="832"/>
      <c r="BE186" s="999"/>
      <c r="BF186" s="832"/>
      <c r="BG186" s="832"/>
      <c r="BH186" s="833"/>
      <c r="BI186" s="832"/>
      <c r="BJ186" s="999"/>
      <c r="BK186" s="832"/>
      <c r="BL186" s="832"/>
      <c r="BM186" s="832"/>
      <c r="BN186" s="832"/>
      <c r="BO186" s="999"/>
      <c r="BP186" s="999"/>
      <c r="BQ186" s="999"/>
      <c r="BR186" s="999"/>
      <c r="BS186" s="816"/>
    </row>
    <row r="187" spans="1:71" s="43" customFormat="1" ht="15">
      <c r="A187" s="812" t="s">
        <v>46</v>
      </c>
      <c r="B187" s="812"/>
      <c r="C187" s="828"/>
      <c r="D187" s="828"/>
      <c r="E187" s="828"/>
      <c r="F187" s="828"/>
      <c r="G187" s="828"/>
      <c r="H187" s="828"/>
      <c r="I187" s="828"/>
      <c r="J187" s="828"/>
      <c r="K187" s="828"/>
      <c r="L187" s="828"/>
      <c r="M187" s="828"/>
      <c r="N187" s="828"/>
      <c r="O187" s="828"/>
      <c r="P187" s="828"/>
      <c r="Q187" s="828"/>
      <c r="R187" s="828"/>
      <c r="S187" s="828"/>
      <c r="T187" s="828"/>
      <c r="U187" s="828"/>
      <c r="V187" s="828"/>
      <c r="W187" s="828"/>
      <c r="X187" s="828"/>
      <c r="Y187" s="828"/>
      <c r="Z187" s="828"/>
      <c r="AA187" s="828"/>
      <c r="AB187" s="828"/>
      <c r="AC187" s="828"/>
      <c r="AD187" s="828"/>
      <c r="AE187" s="828"/>
      <c r="AF187" s="828"/>
      <c r="AG187" s="828"/>
      <c r="AH187" s="828"/>
      <c r="AI187" s="828"/>
      <c r="AJ187" s="828"/>
      <c r="AK187" s="828"/>
      <c r="AL187" s="828"/>
      <c r="AM187" s="828"/>
      <c r="AN187" s="828"/>
      <c r="AO187" s="828"/>
      <c r="AP187" s="828"/>
      <c r="AQ187" s="828"/>
      <c r="AR187" s="828"/>
      <c r="AS187" s="828"/>
      <c r="AT187" s="828"/>
      <c r="AU187" s="828"/>
      <c r="AV187" s="828"/>
      <c r="AW187" s="828"/>
      <c r="AX187" s="828"/>
      <c r="AY187" s="828"/>
      <c r="AZ187" s="828"/>
      <c r="BA187" s="828"/>
      <c r="BB187" s="828"/>
      <c r="BC187" s="828"/>
      <c r="BD187" s="828"/>
      <c r="BE187" s="828"/>
      <c r="BF187" s="828"/>
      <c r="BG187" s="828"/>
      <c r="BH187" s="829"/>
      <c r="BI187" s="828"/>
      <c r="BJ187" s="828"/>
      <c r="BK187" s="828"/>
      <c r="BL187" s="828"/>
      <c r="BM187" s="828"/>
      <c r="BN187" s="828"/>
      <c r="BO187" s="828"/>
      <c r="BP187" s="828"/>
      <c r="BQ187" s="828"/>
      <c r="BR187" s="828"/>
      <c r="BS187" s="475"/>
    </row>
    <row r="188" spans="1:71" s="43" customFormat="1" ht="15" hidden="1" outlineLevel="1">
      <c r="A188" s="174" t="s">
        <v>47</v>
      </c>
      <c r="B188" s="199"/>
      <c r="C188" s="1010">
        <v>-92</v>
      </c>
      <c r="D188" s="1010">
        <v>379</v>
      </c>
      <c r="E188" s="1010">
        <v>122</v>
      </c>
      <c r="F188" s="1010">
        <v>620</v>
      </c>
      <c r="G188" s="1010">
        <v>422</v>
      </c>
      <c r="H188" s="448"/>
      <c r="I188" s="448"/>
      <c r="J188" s="448"/>
      <c r="K188" s="448"/>
      <c r="L188" s="1010">
        <v>461</v>
      </c>
      <c r="M188" s="448"/>
      <c r="N188" s="448"/>
      <c r="O188" s="448"/>
      <c r="P188" s="448"/>
      <c r="Q188" s="1010">
        <v>41</v>
      </c>
      <c r="R188" s="448"/>
      <c r="S188" s="448"/>
      <c r="T188" s="448"/>
      <c r="U188" s="448"/>
      <c r="V188" s="1010">
        <v>524</v>
      </c>
      <c r="W188" s="448"/>
      <c r="X188" s="448"/>
      <c r="Y188" s="448"/>
      <c r="Z188" s="448"/>
      <c r="AA188" s="1010">
        <v>-1217</v>
      </c>
      <c r="AB188" s="448"/>
      <c r="AC188" s="448"/>
      <c r="AD188" s="448"/>
      <c r="AE188" s="448"/>
      <c r="AF188" s="1010">
        <v>-316</v>
      </c>
      <c r="AG188" s="448"/>
      <c r="AH188" s="448"/>
      <c r="AI188" s="448"/>
      <c r="AJ188" s="448"/>
      <c r="AK188" s="1010">
        <v>335</v>
      </c>
      <c r="AL188" s="448"/>
      <c r="AM188" s="448"/>
      <c r="AN188" s="448"/>
      <c r="AO188" s="448"/>
      <c r="AP188" s="1010">
        <v>-1413</v>
      </c>
      <c r="AQ188" s="448"/>
      <c r="AR188" s="448"/>
      <c r="AS188" s="448"/>
      <c r="AT188" s="448"/>
      <c r="AU188" s="1010">
        <v>-98</v>
      </c>
      <c r="AV188" s="448"/>
      <c r="AW188" s="448"/>
      <c r="AX188" s="448"/>
      <c r="AY188" s="448"/>
      <c r="AZ188" s="1010">
        <v>-730</v>
      </c>
      <c r="BA188" s="448"/>
      <c r="BB188" s="448"/>
      <c r="BC188" s="448"/>
      <c r="BD188" s="448"/>
      <c r="BE188" s="1010">
        <v>-1060</v>
      </c>
      <c r="BF188" s="448"/>
      <c r="BG188" s="448"/>
      <c r="BH188" s="757"/>
      <c r="BI188" s="448"/>
      <c r="BJ188" s="1011"/>
      <c r="BK188" s="448"/>
      <c r="BL188" s="448"/>
      <c r="BM188" s="448"/>
      <c r="BN188" s="448"/>
      <c r="BO188" s="1011"/>
      <c r="BP188" s="1011"/>
      <c r="BQ188" s="1011"/>
      <c r="BR188" s="1011"/>
      <c r="BS188" s="76"/>
    </row>
    <row r="189" spans="1:71" s="43" customFormat="1" ht="15" hidden="1" outlineLevel="1">
      <c r="A189" s="198"/>
      <c r="B189" s="199"/>
      <c r="C189" s="1011"/>
      <c r="D189" s="1011"/>
      <c r="E189" s="1011"/>
      <c r="F189" s="1011"/>
      <c r="G189" s="1011"/>
      <c r="H189" s="448"/>
      <c r="I189" s="448"/>
      <c r="J189" s="448"/>
      <c r="K189" s="448"/>
      <c r="L189" s="1011"/>
      <c r="M189" s="448"/>
      <c r="N189" s="448"/>
      <c r="O189" s="448"/>
      <c r="P189" s="448"/>
      <c r="Q189" s="1011"/>
      <c r="R189" s="448"/>
      <c r="S189" s="448"/>
      <c r="T189" s="448"/>
      <c r="U189" s="448"/>
      <c r="V189" s="1011"/>
      <c r="W189" s="448"/>
      <c r="X189" s="448"/>
      <c r="Y189" s="448"/>
      <c r="Z189" s="448"/>
      <c r="AA189" s="1011"/>
      <c r="AB189" s="448"/>
      <c r="AC189" s="448"/>
      <c r="AD189" s="448"/>
      <c r="AE189" s="448"/>
      <c r="AF189" s="1011"/>
      <c r="AG189" s="448"/>
      <c r="AH189" s="448"/>
      <c r="AI189" s="448"/>
      <c r="AJ189" s="448"/>
      <c r="AK189" s="1011"/>
      <c r="AL189" s="448"/>
      <c r="AM189" s="448"/>
      <c r="AN189" s="448"/>
      <c r="AO189" s="448"/>
      <c r="AP189" s="1011"/>
      <c r="AQ189" s="448"/>
      <c r="AR189" s="448"/>
      <c r="AS189" s="448"/>
      <c r="AT189" s="448"/>
      <c r="AU189" s="1011"/>
      <c r="AV189" s="448"/>
      <c r="AW189" s="448"/>
      <c r="AX189" s="448"/>
      <c r="AY189" s="448"/>
      <c r="AZ189" s="1011"/>
      <c r="BA189" s="448"/>
      <c r="BB189" s="448"/>
      <c r="BC189" s="448"/>
      <c r="BD189" s="448"/>
      <c r="BE189" s="1011"/>
      <c r="BF189" s="448"/>
      <c r="BG189" s="448"/>
      <c r="BH189" s="757"/>
      <c r="BI189" s="448"/>
      <c r="BJ189" s="1011"/>
      <c r="BK189" s="448"/>
      <c r="BL189" s="448"/>
      <c r="BM189" s="448"/>
      <c r="BN189" s="448"/>
      <c r="BO189" s="1011"/>
      <c r="BP189" s="1011"/>
      <c r="BQ189" s="1011"/>
      <c r="BR189" s="1011"/>
      <c r="BS189" s="76"/>
    </row>
    <row r="190" spans="1:71" s="43" customFormat="1" ht="15" hidden="1" outlineLevel="1">
      <c r="A190" s="174" t="s">
        <v>48</v>
      </c>
      <c r="B190" s="199"/>
      <c r="C190" s="1012">
        <f t="shared" si="454" ref="C190:Y190">C183</f>
        <v>1497</v>
      </c>
      <c r="D190" s="1012">
        <f t="shared" si="454"/>
        <v>2344</v>
      </c>
      <c r="E190" s="1012">
        <f t="shared" si="454"/>
        <v>1937</v>
      </c>
      <c r="F190" s="1012">
        <f t="shared" si="454"/>
        <v>2866</v>
      </c>
      <c r="G190" s="1012">
        <f t="shared" si="454"/>
        <v>3158</v>
      </c>
      <c r="H190" s="76">
        <f t="shared" si="454"/>
        <v>732</v>
      </c>
      <c r="I190" s="76">
        <f t="shared" si="454"/>
        <v>810</v>
      </c>
      <c r="J190" s="76">
        <f t="shared" si="454"/>
        <v>706</v>
      </c>
      <c r="K190" s="76">
        <f t="shared" si="454"/>
        <v>703</v>
      </c>
      <c r="L190" s="1012">
        <f t="shared" si="454"/>
        <v>2951</v>
      </c>
      <c r="M190" s="76">
        <f t="shared" si="454"/>
        <v>663</v>
      </c>
      <c r="N190" s="76">
        <f t="shared" si="454"/>
        <v>573</v>
      </c>
      <c r="O190" s="76">
        <f t="shared" si="454"/>
        <v>567</v>
      </c>
      <c r="P190" s="76">
        <f t="shared" si="454"/>
        <v>730</v>
      </c>
      <c r="Q190" s="1012">
        <f t="shared" si="454"/>
        <v>2533</v>
      </c>
      <c r="R190" s="76">
        <f t="shared" si="454"/>
        <v>731</v>
      </c>
      <c r="S190" s="76">
        <f t="shared" si="454"/>
        <v>548</v>
      </c>
      <c r="T190" s="76">
        <f t="shared" si="454"/>
        <v>629</v>
      </c>
      <c r="U190" s="76">
        <f t="shared" si="454"/>
        <v>751</v>
      </c>
      <c r="V190" s="1012">
        <f t="shared" si="454"/>
        <v>2659</v>
      </c>
      <c r="W190" s="76">
        <f t="shared" si="454"/>
        <v>592</v>
      </c>
      <c r="X190" s="76">
        <f t="shared" si="454"/>
        <v>713</v>
      </c>
      <c r="Y190" s="76">
        <f t="shared" si="454"/>
        <v>716</v>
      </c>
      <c r="Z190" s="917">
        <v>2351</v>
      </c>
      <c r="AA190" s="1012">
        <f>AA183</f>
        <v>4604</v>
      </c>
      <c r="AB190" s="76">
        <f>AB183</f>
        <v>717</v>
      </c>
      <c r="AC190" s="76">
        <f>AC183</f>
        <v>832</v>
      </c>
      <c r="AD190" s="76">
        <f>AD183</f>
        <v>845</v>
      </c>
      <c r="AE190" s="917">
        <v>525</v>
      </c>
      <c r="AF190" s="1012">
        <f t="shared" si="455" ref="AF190:AM190">AF183</f>
        <v>2920</v>
      </c>
      <c r="AG190" s="76">
        <f t="shared" si="455"/>
        <v>928</v>
      </c>
      <c r="AH190" s="76">
        <f t="shared" si="455"/>
        <v>817</v>
      </c>
      <c r="AI190" s="76">
        <f t="shared" si="455"/>
        <v>777</v>
      </c>
      <c r="AJ190" s="76">
        <f t="shared" si="455"/>
        <v>782</v>
      </c>
      <c r="AK190" s="1012">
        <f t="shared" si="455"/>
        <v>3304</v>
      </c>
      <c r="AL190" s="76">
        <f t="shared" si="455"/>
        <v>566</v>
      </c>
      <c r="AM190" s="76">
        <f t="shared" si="455"/>
        <v>805</v>
      </c>
      <c r="AN190" s="76">
        <f t="shared" si="456" ref="AN190:AQ190">AN183</f>
        <v>2456</v>
      </c>
      <c r="AO190" s="76">
        <f t="shared" si="456"/>
        <v>951</v>
      </c>
      <c r="AP190" s="1012">
        <f t="shared" si="456"/>
        <v>4778</v>
      </c>
      <c r="AQ190" s="76">
        <f t="shared" si="456"/>
        <v>1293</v>
      </c>
      <c r="AR190" s="76">
        <f t="shared" si="457" ref="AR190:AW190">AR183</f>
        <v>1105</v>
      </c>
      <c r="AS190" s="76">
        <f t="shared" si="457"/>
        <v>888</v>
      </c>
      <c r="AT190" s="76">
        <f t="shared" si="457"/>
        <v>1039</v>
      </c>
      <c r="AU190" s="1012">
        <f t="shared" si="457"/>
        <v>4325</v>
      </c>
      <c r="AV190" s="76">
        <f t="shared" si="457"/>
        <v>1047</v>
      </c>
      <c r="AW190" s="76">
        <f t="shared" si="457"/>
        <v>1394</v>
      </c>
      <c r="AX190" s="76">
        <f t="shared" si="458" ref="AX190:BC190">AX183</f>
        <v>1781</v>
      </c>
      <c r="AY190" s="76">
        <f t="shared" si="458"/>
        <v>196</v>
      </c>
      <c r="AZ190" s="1012">
        <f t="shared" si="458"/>
        <v>4418</v>
      </c>
      <c r="BA190" s="76">
        <f t="shared" si="458"/>
        <v>1188</v>
      </c>
      <c r="BB190" s="76">
        <f t="shared" si="458"/>
        <v>1634</v>
      </c>
      <c r="BC190" s="76">
        <f t="shared" si="458"/>
        <v>1569</v>
      </c>
      <c r="BD190" s="76">
        <f>BD183</f>
        <v>268</v>
      </c>
      <c r="BE190" s="1012">
        <f>BE183</f>
        <v>4659</v>
      </c>
      <c r="BF190" s="76">
        <f>BF183</f>
        <v>1879</v>
      </c>
      <c r="BG190" s="76">
        <f>BG183</f>
        <v>1755</v>
      </c>
      <c r="BH190" s="758">
        <f>BH183</f>
        <v>-93</v>
      </c>
      <c r="BI190" s="448">
        <f>BI222</f>
        <v>846.42396401704968</v>
      </c>
      <c r="BJ190" s="1011">
        <f t="shared" si="459" ref="BJ190:BJ195">SUM(BF190,BG190,BH190,BI190)</f>
        <v>4387.4239640170499</v>
      </c>
      <c r="BK190" s="448">
        <f>BK222</f>
        <v>970.6656112817667</v>
      </c>
      <c r="BL190" s="448">
        <f>BL222</f>
        <v>974.46545929424644</v>
      </c>
      <c r="BM190" s="448">
        <f>BM222</f>
        <v>950.48046835653633</v>
      </c>
      <c r="BN190" s="448">
        <f>BN222</f>
        <v>1044.5970899323759</v>
      </c>
      <c r="BO190" s="1011">
        <f t="shared" si="460" ref="BO190:BO195">SUM(BK190,BL190,BM190,BN190)</f>
        <v>3940.2086288649252</v>
      </c>
      <c r="BP190" s="1011">
        <f>BP222</f>
        <v>4181.5757074884486</v>
      </c>
      <c r="BQ190" s="1011">
        <f>BQ222</f>
        <v>4128.2527069076195</v>
      </c>
      <c r="BR190" s="1011">
        <f>BR222</f>
        <v>3117.6098213295713</v>
      </c>
      <c r="BS190" s="76"/>
    </row>
    <row r="191" spans="1:71" s="223" customFormat="1" ht="15" hidden="1" outlineLevel="1">
      <c r="A191" s="424" t="s">
        <v>49</v>
      </c>
      <c r="B191" s="202"/>
      <c r="C191" s="1002">
        <f>788+3-11</f>
        <v>780</v>
      </c>
      <c r="D191" s="1002">
        <f>273+1</f>
        <v>274</v>
      </c>
      <c r="E191" s="1002">
        <f>850+159</f>
        <v>1009</v>
      </c>
      <c r="F191" s="1002">
        <f>326+5-105</f>
        <v>226</v>
      </c>
      <c r="G191" s="1002">
        <f>-41+17-229</f>
        <v>-253</v>
      </c>
      <c r="H191" s="908">
        <f>-25+6+55</f>
        <v>36</v>
      </c>
      <c r="I191" s="908">
        <f>-45+16-31</f>
        <v>-60</v>
      </c>
      <c r="J191" s="908">
        <f>-21+1+16</f>
        <v>-4</v>
      </c>
      <c r="K191" s="908">
        <f>-28+1-56</f>
        <v>-83</v>
      </c>
      <c r="L191" s="1013">
        <f>SUM(H191,I191,J191,K191)</f>
        <v>-111</v>
      </c>
      <c r="M191" s="908">
        <f>-40+9+34</f>
        <v>3</v>
      </c>
      <c r="N191" s="908">
        <f>-60+12-20</f>
        <v>-68</v>
      </c>
      <c r="O191" s="908">
        <f>72+18-2</f>
        <v>88</v>
      </c>
      <c r="P191" s="908">
        <f>-107+26-10</f>
        <v>-91</v>
      </c>
      <c r="Q191" s="1013">
        <f>SUM(M191,N191,O191,P191)</f>
        <v>-68</v>
      </c>
      <c r="R191" s="908">
        <f>-77+37</f>
        <v>-40</v>
      </c>
      <c r="S191" s="908">
        <f>11+197</f>
        <v>208</v>
      </c>
      <c r="T191" s="908">
        <f>37+93</f>
        <v>130</v>
      </c>
      <c r="U191" s="908">
        <f>-25-361</f>
        <v>-386</v>
      </c>
      <c r="V191" s="1013">
        <f>SUM(R191,S191,T191,U191)</f>
        <v>-88</v>
      </c>
      <c r="W191" s="908">
        <v>109</v>
      </c>
      <c r="X191" s="908">
        <v>19</v>
      </c>
      <c r="Y191" s="908">
        <v>-71</v>
      </c>
      <c r="Z191" s="908">
        <f>42-100</f>
        <v>-58</v>
      </c>
      <c r="AA191" s="1013">
        <f>SUM(W191,X191,Y191,Z191)</f>
        <v>-1</v>
      </c>
      <c r="AB191" s="908">
        <v>98</v>
      </c>
      <c r="AC191" s="908">
        <v>-35</v>
      </c>
      <c r="AD191" s="908">
        <v>-88</v>
      </c>
      <c r="AE191" s="908">
        <v>322</v>
      </c>
      <c r="AF191" s="1002">
        <v>297</v>
      </c>
      <c r="AG191" s="908">
        <v>-103</v>
      </c>
      <c r="AH191" s="908">
        <v>33</v>
      </c>
      <c r="AI191" s="908">
        <v>119</v>
      </c>
      <c r="AJ191" s="908">
        <v>-34</v>
      </c>
      <c r="AK191" s="1002">
        <v>15</v>
      </c>
      <c r="AL191" s="908">
        <v>448</v>
      </c>
      <c r="AM191" s="908">
        <v>166</v>
      </c>
      <c r="AN191" s="908">
        <v>-117</v>
      </c>
      <c r="AO191" s="908">
        <v>-268</v>
      </c>
      <c r="AP191" s="1013">
        <f>SUM(AL191,AM191,AN191,AO191)</f>
        <v>229</v>
      </c>
      <c r="AQ191" s="908">
        <v>-304</v>
      </c>
      <c r="AR191" s="908">
        <v>-85</v>
      </c>
      <c r="AS191" s="908">
        <v>172</v>
      </c>
      <c r="AT191" s="908">
        <v>-246</v>
      </c>
      <c r="AU191" s="1002">
        <v>-462</v>
      </c>
      <c r="AV191" s="908">
        <v>-134</v>
      </c>
      <c r="AW191" s="908">
        <v>-567</v>
      </c>
      <c r="AX191" s="908">
        <v>-222</v>
      </c>
      <c r="AY191" s="908">
        <v>477</v>
      </c>
      <c r="AZ191" s="1002">
        <v>-447</v>
      </c>
      <c r="BA191" s="908">
        <v>-209</v>
      </c>
      <c r="BB191" s="908">
        <v>-651</v>
      </c>
      <c r="BC191" s="908">
        <v>-504</v>
      </c>
      <c r="BD191" s="908">
        <v>450</v>
      </c>
      <c r="BE191" s="1002">
        <v>-914</v>
      </c>
      <c r="BF191" s="908">
        <v>-1009</v>
      </c>
      <c r="BG191" s="908">
        <v>-749</v>
      </c>
      <c r="BH191" s="909">
        <v>1347</v>
      </c>
      <c r="BI191" s="139">
        <f>-BI203</f>
        <v>-20</v>
      </c>
      <c r="BJ191" s="1003">
        <f t="shared" si="459"/>
        <v>-431</v>
      </c>
      <c r="BK191" s="139">
        <f>-BK203</f>
        <v>-20</v>
      </c>
      <c r="BL191" s="139">
        <f>-BL203</f>
        <v>-20</v>
      </c>
      <c r="BM191" s="139">
        <f>-BM203</f>
        <v>-20</v>
      </c>
      <c r="BN191" s="139">
        <f>-BN203</f>
        <v>-20</v>
      </c>
      <c r="BO191" s="1003">
        <f t="shared" si="460"/>
        <v>-80</v>
      </c>
      <c r="BP191" s="1003">
        <f>-BP203</f>
        <v>-80</v>
      </c>
      <c r="BQ191" s="1003">
        <f>-BQ203</f>
        <v>-80</v>
      </c>
      <c r="BR191" s="1003">
        <f>-BR203</f>
        <v>-80</v>
      </c>
      <c r="BS191" s="426"/>
    </row>
    <row r="192" spans="1:71" s="223" customFormat="1" ht="15" hidden="1" outlineLevel="1">
      <c r="A192" s="424" t="s">
        <v>50</v>
      </c>
      <c r="B192" s="202"/>
      <c r="C192" s="1003"/>
      <c r="D192" s="1003"/>
      <c r="E192" s="1003"/>
      <c r="F192" s="1002">
        <v>5</v>
      </c>
      <c r="G192" s="1002">
        <v>-18</v>
      </c>
      <c r="H192" s="908">
        <v>6</v>
      </c>
      <c r="I192" s="908">
        <v>7</v>
      </c>
      <c r="J192" s="908">
        <v>-17</v>
      </c>
      <c r="K192" s="908">
        <v>-39</v>
      </c>
      <c r="L192" s="1013">
        <f>SUM(H192,I192,J192,K192)</f>
        <v>-43</v>
      </c>
      <c r="M192" s="908">
        <v>12</v>
      </c>
      <c r="N192" s="908">
        <v>146</v>
      </c>
      <c r="O192" s="908">
        <v>17</v>
      </c>
      <c r="P192" s="908">
        <v>-4</v>
      </c>
      <c r="Q192" s="1013">
        <f>SUM(M192,N192,O192,P192)</f>
        <v>171</v>
      </c>
      <c r="R192" s="908">
        <v>0</v>
      </c>
      <c r="S192" s="908">
        <v>0</v>
      </c>
      <c r="T192" s="908">
        <v>0</v>
      </c>
      <c r="U192" s="908">
        <v>137</v>
      </c>
      <c r="V192" s="1013">
        <f>SUM(R192,S192,T192,U192)</f>
        <v>137</v>
      </c>
      <c r="W192" s="908">
        <v>20</v>
      </c>
      <c r="X192" s="908">
        <v>8</v>
      </c>
      <c r="Y192" s="908">
        <v>10</v>
      </c>
      <c r="Z192" s="908">
        <v>31</v>
      </c>
      <c r="AA192" s="1013">
        <f>SUM(W192,X192,Y192,Z192)</f>
        <v>69</v>
      </c>
      <c r="AB192" s="908">
        <v>29</v>
      </c>
      <c r="AC192" s="908">
        <v>41</v>
      </c>
      <c r="AD192" s="908">
        <v>3</v>
      </c>
      <c r="AE192" s="908">
        <v>2</v>
      </c>
      <c r="AF192" s="1002">
        <v>75</v>
      </c>
      <c r="AG192" s="139"/>
      <c r="AH192" s="908">
        <v>0</v>
      </c>
      <c r="AI192" s="908">
        <v>0</v>
      </c>
      <c r="AJ192" s="908">
        <v>0</v>
      </c>
      <c r="AK192" s="1002">
        <v>1</v>
      </c>
      <c r="AL192" s="908">
        <v>15</v>
      </c>
      <c r="AM192" s="908">
        <v>0</v>
      </c>
      <c r="AN192" s="908">
        <v>1</v>
      </c>
      <c r="AO192" s="908">
        <v>13</v>
      </c>
      <c r="AP192" s="1013">
        <f>SUM(AL192,AM192,AN192,AO192)</f>
        <v>29</v>
      </c>
      <c r="AQ192" s="908">
        <v>6</v>
      </c>
      <c r="AR192" s="908">
        <v>53</v>
      </c>
      <c r="AS192" s="908">
        <v>8</v>
      </c>
      <c r="AT192" s="908">
        <v>6</v>
      </c>
      <c r="AU192" s="1002">
        <v>73</v>
      </c>
      <c r="AV192" s="908">
        <v>1</v>
      </c>
      <c r="AW192" s="139"/>
      <c r="AX192" s="908">
        <v>-1</v>
      </c>
      <c r="AY192" s="908">
        <v>0</v>
      </c>
      <c r="AZ192" s="1002">
        <v>-1</v>
      </c>
      <c r="BA192" s="908">
        <v>0</v>
      </c>
      <c r="BB192" s="908">
        <v>-35</v>
      </c>
      <c r="BC192" s="908">
        <v>-3</v>
      </c>
      <c r="BD192" s="908">
        <v>0</v>
      </c>
      <c r="BE192" s="1002">
        <v>-39</v>
      </c>
      <c r="BF192" s="908">
        <v>2</v>
      </c>
      <c r="BG192" s="908">
        <v>0</v>
      </c>
      <c r="BH192" s="909">
        <v>0</v>
      </c>
      <c r="BI192" s="908">
        <v>0</v>
      </c>
      <c r="BJ192" s="1003">
        <f t="shared" si="459"/>
        <v>2</v>
      </c>
      <c r="BK192" s="908">
        <v>0</v>
      </c>
      <c r="BL192" s="908">
        <v>0</v>
      </c>
      <c r="BM192" s="908">
        <v>0</v>
      </c>
      <c r="BN192" s="908">
        <v>0</v>
      </c>
      <c r="BO192" s="1003">
        <f t="shared" si="460"/>
        <v>0</v>
      </c>
      <c r="BP192" s="1002">
        <v>0</v>
      </c>
      <c r="BQ192" s="1002">
        <v>0</v>
      </c>
      <c r="BR192" s="1002">
        <v>0</v>
      </c>
      <c r="BS192" s="426"/>
    </row>
    <row r="193" spans="1:71" s="223" customFormat="1" ht="15" hidden="1" outlineLevel="1">
      <c r="A193" s="424" t="s">
        <v>51</v>
      </c>
      <c r="B193" s="202"/>
      <c r="C193" s="1003"/>
      <c r="D193" s="1003"/>
      <c r="E193" s="1003"/>
      <c r="F193" s="1003"/>
      <c r="G193" s="1003"/>
      <c r="H193" s="139"/>
      <c r="I193" s="139"/>
      <c r="J193" s="139"/>
      <c r="K193" s="139"/>
      <c r="L193" s="1013">
        <f>SUM(H193,I193,J193,K193)</f>
        <v>0</v>
      </c>
      <c r="M193" s="139"/>
      <c r="N193" s="139"/>
      <c r="O193" s="139"/>
      <c r="P193" s="908">
        <v>33</v>
      </c>
      <c r="Q193" s="1013">
        <f>SUM(M193,N193,O193,P193)</f>
        <v>33</v>
      </c>
      <c r="R193" s="908">
        <v>14</v>
      </c>
      <c r="S193" s="908">
        <v>-73</v>
      </c>
      <c r="T193" s="908">
        <v>-46</v>
      </c>
      <c r="U193" s="908">
        <v>87</v>
      </c>
      <c r="V193" s="1013">
        <f>SUM(R193,S193,T193,U193)</f>
        <v>-18</v>
      </c>
      <c r="W193" s="908">
        <v>-45</v>
      </c>
      <c r="X193" s="908">
        <v>-10</v>
      </c>
      <c r="Y193" s="908">
        <v>21</v>
      </c>
      <c r="Z193" s="908">
        <v>9</v>
      </c>
      <c r="AA193" s="1013">
        <f>SUM(W193,X193,Y193,Z193)</f>
        <v>-25</v>
      </c>
      <c r="AB193" s="908">
        <v>-24</v>
      </c>
      <c r="AC193" s="908">
        <v>-4</v>
      </c>
      <c r="AD193" s="908">
        <v>21</v>
      </c>
      <c r="AE193" s="908">
        <v>-77</v>
      </c>
      <c r="AF193" s="1002">
        <v>-83</v>
      </c>
      <c r="AG193" s="908">
        <v>23</v>
      </c>
      <c r="AH193" s="908">
        <v>-5</v>
      </c>
      <c r="AI193" s="908">
        <v>-33</v>
      </c>
      <c r="AJ193" s="908">
        <v>12</v>
      </c>
      <c r="AK193" s="1002">
        <v>-3</v>
      </c>
      <c r="AL193" s="908">
        <v>-146</v>
      </c>
      <c r="AM193" s="908">
        <v>-50</v>
      </c>
      <c r="AN193" s="908">
        <v>72</v>
      </c>
      <c r="AO193" s="908">
        <v>52</v>
      </c>
      <c r="AP193" s="1013">
        <f>SUM(AL193,AM193,AN193,AO193)</f>
        <v>-72</v>
      </c>
      <c r="AQ193" s="908">
        <v>62</v>
      </c>
      <c r="AR193" s="908">
        <v>7</v>
      </c>
      <c r="AS193" s="908">
        <v>-37</v>
      </c>
      <c r="AT193" s="908">
        <v>50</v>
      </c>
      <c r="AU193" s="1002">
        <v>83</v>
      </c>
      <c r="AV193" s="908">
        <v>28</v>
      </c>
      <c r="AW193" s="908">
        <v>119</v>
      </c>
      <c r="AX193" s="908">
        <v>-648</v>
      </c>
      <c r="AY193" s="908">
        <v>144</v>
      </c>
      <c r="AZ193" s="1002">
        <v>-357</v>
      </c>
      <c r="BA193" s="908">
        <v>-26</v>
      </c>
      <c r="BB193" s="908">
        <v>5</v>
      </c>
      <c r="BC193" s="908">
        <v>33</v>
      </c>
      <c r="BD193" s="908">
        <v>14</v>
      </c>
      <c r="BE193" s="1002">
        <v>26</v>
      </c>
      <c r="BF193" s="908">
        <v>89</v>
      </c>
      <c r="BG193" s="908">
        <v>29</v>
      </c>
      <c r="BH193" s="909">
        <v>-43</v>
      </c>
      <c r="BI193" s="139">
        <f>-SUM(BI191,BI192,BI194)*(BI229+BI230)</f>
        <v>0.20</v>
      </c>
      <c r="BJ193" s="1003">
        <f t="shared" si="459"/>
        <v>75.20</v>
      </c>
      <c r="BK193" s="139">
        <f>-SUM(BK191,BK192,BK194)*(BK229+BK230)</f>
        <v>0.20</v>
      </c>
      <c r="BL193" s="139">
        <f>-SUM(BL191,BL192,BL194)*(BL229+BL230)</f>
        <v>1</v>
      </c>
      <c r="BM193" s="139">
        <f>-SUM(BM191,BM192,BM194)*(BM229+BM230)</f>
        <v>0.20</v>
      </c>
      <c r="BN193" s="139">
        <f>-SUM(BN191,BN192,BN194)*(BN229+BN230)</f>
        <v>1</v>
      </c>
      <c r="BO193" s="1003">
        <f t="shared" si="460"/>
        <v>2.40</v>
      </c>
      <c r="BP193" s="1003">
        <f>-SUM(BP191,BP192,BP194)*(BP229+BP230)</f>
        <v>-3.20</v>
      </c>
      <c r="BQ193" s="1003">
        <f>-SUM(BQ191,BQ192,BQ194)*(BQ229+BQ230)</f>
        <v>-5.60</v>
      </c>
      <c r="BR193" s="1003">
        <f>-SUM(BR191,BR192,BR194)*(BR229+BR230)</f>
        <v>15.999999999999998</v>
      </c>
      <c r="BS193" s="426"/>
    </row>
    <row r="194" spans="1:71" s="223" customFormat="1" ht="15" hidden="1" outlineLevel="1">
      <c r="A194" s="424" t="s">
        <v>52</v>
      </c>
      <c r="B194" s="202"/>
      <c r="C194" s="1003"/>
      <c r="D194" s="1003"/>
      <c r="E194" s="1003"/>
      <c r="F194" s="1003"/>
      <c r="G194" s="1003"/>
      <c r="H194" s="139"/>
      <c r="I194" s="139"/>
      <c r="J194" s="139"/>
      <c r="K194" s="139"/>
      <c r="L194" s="1013">
        <f>SUM(H194,I194,J194,K194)</f>
        <v>0</v>
      </c>
      <c r="M194" s="139"/>
      <c r="N194" s="139"/>
      <c r="O194" s="139"/>
      <c r="P194" s="139"/>
      <c r="Q194" s="1013">
        <f>SUM(M194,N194,O194,P194)</f>
        <v>0</v>
      </c>
      <c r="R194" s="139"/>
      <c r="S194" s="139"/>
      <c r="T194" s="139"/>
      <c r="U194" s="908">
        <v>0</v>
      </c>
      <c r="V194" s="1013">
        <f>SUM(R194,S194,T194,U194)</f>
        <v>0</v>
      </c>
      <c r="W194" s="139"/>
      <c r="X194" s="139"/>
      <c r="Y194" s="908">
        <v>0</v>
      </c>
      <c r="Z194" s="908">
        <v>-1700</v>
      </c>
      <c r="AA194" s="1013">
        <f>SUM(W194,X194,Y194,Z194)</f>
        <v>-1700</v>
      </c>
      <c r="AB194" s="139"/>
      <c r="AC194" s="139"/>
      <c r="AD194" s="908">
        <v>11</v>
      </c>
      <c r="AE194" s="426">
        <f>AF194-SUM(AB194,AC194,AD194)</f>
        <v>7</v>
      </c>
      <c r="AF194" s="1002">
        <v>18</v>
      </c>
      <c r="AG194" s="139"/>
      <c r="AH194" s="139"/>
      <c r="AI194" s="908">
        <v>0</v>
      </c>
      <c r="AJ194" s="908">
        <v>-4</v>
      </c>
      <c r="AK194" s="1002">
        <v>-4</v>
      </c>
      <c r="AL194" s="139"/>
      <c r="AM194" s="139"/>
      <c r="AN194" s="139"/>
      <c r="AO194" s="139"/>
      <c r="AP194" s="1013">
        <f>SUM(AL194,AM194,AN194,AO194)</f>
        <v>0</v>
      </c>
      <c r="AQ194" s="139"/>
      <c r="AR194" s="139"/>
      <c r="AS194" s="139"/>
      <c r="AT194" s="139"/>
      <c r="AU194" s="1013">
        <f>SUM(AQ194,AR194,AS194,AT194)</f>
        <v>0</v>
      </c>
      <c r="AV194" s="139"/>
      <c r="AW194" s="139"/>
      <c r="AX194" s="139"/>
      <c r="AY194" s="139"/>
      <c r="AZ194" s="1003"/>
      <c r="BA194" s="139"/>
      <c r="BB194" s="139"/>
      <c r="BC194" s="139"/>
      <c r="BD194" s="139"/>
      <c r="BE194" s="1003"/>
      <c r="BF194" s="139"/>
      <c r="BG194" s="139"/>
      <c r="BH194" s="750"/>
      <c r="BI194" s="908">
        <v>0</v>
      </c>
      <c r="BJ194" s="1003">
        <f t="shared" si="459"/>
        <v>0</v>
      </c>
      <c r="BK194" s="908">
        <v>0</v>
      </c>
      <c r="BL194" s="908">
        <v>0</v>
      </c>
      <c r="BM194" s="908">
        <v>0</v>
      </c>
      <c r="BN194" s="908">
        <v>0</v>
      </c>
      <c r="BO194" s="1003">
        <f t="shared" si="460"/>
        <v>0</v>
      </c>
      <c r="BP194" s="1002">
        <v>0</v>
      </c>
      <c r="BQ194" s="1002">
        <v>0</v>
      </c>
      <c r="BR194" s="1002">
        <v>0</v>
      </c>
      <c r="BS194" s="426"/>
    </row>
    <row r="195" spans="1:71" s="223" customFormat="1" ht="15" hidden="1" outlineLevel="1">
      <c r="A195" s="424" t="s">
        <v>414</v>
      </c>
      <c r="B195" s="202"/>
      <c r="C195" s="1003"/>
      <c r="D195" s="1003"/>
      <c r="E195" s="1003"/>
      <c r="F195" s="1003"/>
      <c r="G195" s="1003"/>
      <c r="H195" s="139"/>
      <c r="I195" s="139"/>
      <c r="J195" s="139"/>
      <c r="K195" s="139"/>
      <c r="L195" s="1003"/>
      <c r="M195" s="139"/>
      <c r="N195" s="139"/>
      <c r="O195" s="139"/>
      <c r="P195" s="139"/>
      <c r="Q195" s="1003"/>
      <c r="R195" s="139"/>
      <c r="S195" s="139"/>
      <c r="T195" s="139"/>
      <c r="U195" s="139"/>
      <c r="V195" s="1003"/>
      <c r="W195" s="139"/>
      <c r="X195" s="139"/>
      <c r="Y195" s="139"/>
      <c r="Z195" s="139"/>
      <c r="AA195" s="1003"/>
      <c r="AB195" s="139"/>
      <c r="AC195" s="139"/>
      <c r="AD195" s="139"/>
      <c r="AE195" s="139"/>
      <c r="AF195" s="1003"/>
      <c r="AG195" s="139"/>
      <c r="AH195" s="139"/>
      <c r="AI195" s="139"/>
      <c r="AJ195" s="139"/>
      <c r="AK195" s="1003"/>
      <c r="AL195" s="139"/>
      <c r="AM195" s="139"/>
      <c r="AN195" s="911">
        <v>-1418</v>
      </c>
      <c r="AO195" s="908">
        <v>7</v>
      </c>
      <c r="AP195" s="1013">
        <f>SUM(AL195,AM195,AN195,AO195)</f>
        <v>-1411</v>
      </c>
      <c r="AQ195" s="139"/>
      <c r="AR195" s="139"/>
      <c r="AS195" s="347"/>
      <c r="AT195" s="139"/>
      <c r="AU195" s="1013">
        <f>SUM(AQ195,AR195,AS195,AT195)</f>
        <v>0</v>
      </c>
      <c r="AV195" s="139"/>
      <c r="AW195" s="139"/>
      <c r="AX195" s="347"/>
      <c r="AY195" s="139"/>
      <c r="AZ195" s="1003"/>
      <c r="BA195" s="139"/>
      <c r="BB195" s="139"/>
      <c r="BC195" s="347"/>
      <c r="BD195" s="139"/>
      <c r="BE195" s="1003"/>
      <c r="BF195" s="139"/>
      <c r="BG195" s="139"/>
      <c r="BH195" s="751"/>
      <c r="BI195" s="908">
        <v>0</v>
      </c>
      <c r="BJ195" s="1003">
        <f t="shared" si="459"/>
        <v>0</v>
      </c>
      <c r="BK195" s="908">
        <v>0</v>
      </c>
      <c r="BL195" s="908">
        <v>0</v>
      </c>
      <c r="BM195" s="908">
        <v>0</v>
      </c>
      <c r="BN195" s="908">
        <v>0</v>
      </c>
      <c r="BO195" s="1003">
        <f t="shared" si="460"/>
        <v>0</v>
      </c>
      <c r="BP195" s="1002">
        <v>0</v>
      </c>
      <c r="BQ195" s="1002">
        <v>0</v>
      </c>
      <c r="BR195" s="1002">
        <v>0</v>
      </c>
      <c r="BS195" s="426"/>
    </row>
    <row r="196" spans="1:71" s="43" customFormat="1" ht="15" hidden="1" outlineLevel="1">
      <c r="A196" s="350" t="s">
        <v>53</v>
      </c>
      <c r="B196" s="206"/>
      <c r="C196" s="1014">
        <f t="shared" si="461" ref="C196:AA196">SUM(C190:C195)</f>
        <v>2277</v>
      </c>
      <c r="D196" s="1014">
        <f t="shared" si="461"/>
        <v>2618</v>
      </c>
      <c r="E196" s="1014">
        <f t="shared" si="461"/>
        <v>2946</v>
      </c>
      <c r="F196" s="1014">
        <f t="shared" si="461"/>
        <v>3097</v>
      </c>
      <c r="G196" s="1014">
        <f t="shared" si="461"/>
        <v>2887</v>
      </c>
      <c r="H196" s="68">
        <f t="shared" si="461"/>
        <v>774</v>
      </c>
      <c r="I196" s="68">
        <f t="shared" si="461"/>
        <v>757</v>
      </c>
      <c r="J196" s="68">
        <f t="shared" si="461"/>
        <v>685</v>
      </c>
      <c r="K196" s="68">
        <f t="shared" si="461"/>
        <v>581</v>
      </c>
      <c r="L196" s="1014">
        <f t="shared" si="461"/>
        <v>2797</v>
      </c>
      <c r="M196" s="68">
        <f t="shared" si="461"/>
        <v>678</v>
      </c>
      <c r="N196" s="68">
        <f t="shared" si="461"/>
        <v>651</v>
      </c>
      <c r="O196" s="68">
        <f t="shared" si="461"/>
        <v>672</v>
      </c>
      <c r="P196" s="68">
        <f t="shared" si="461"/>
        <v>668</v>
      </c>
      <c r="Q196" s="1014">
        <f t="shared" si="461"/>
        <v>2669</v>
      </c>
      <c r="R196" s="68">
        <f t="shared" si="461"/>
        <v>705</v>
      </c>
      <c r="S196" s="68">
        <f t="shared" si="461"/>
        <v>683</v>
      </c>
      <c r="T196" s="68">
        <f t="shared" si="461"/>
        <v>713</v>
      </c>
      <c r="U196" s="68">
        <f t="shared" si="461"/>
        <v>589</v>
      </c>
      <c r="V196" s="1014">
        <f t="shared" si="461"/>
        <v>2690</v>
      </c>
      <c r="W196" s="68">
        <f t="shared" si="461"/>
        <v>676</v>
      </c>
      <c r="X196" s="68">
        <f t="shared" si="461"/>
        <v>730</v>
      </c>
      <c r="Y196" s="68">
        <f t="shared" si="461"/>
        <v>676</v>
      </c>
      <c r="Z196" s="68">
        <f t="shared" si="461"/>
        <v>633</v>
      </c>
      <c r="AA196" s="1014">
        <f t="shared" si="461"/>
        <v>2947</v>
      </c>
      <c r="AB196" s="918">
        <v>821</v>
      </c>
      <c r="AC196" s="918">
        <v>835</v>
      </c>
      <c r="AD196" s="68">
        <f>SUM(AD190:AD195)</f>
        <v>792</v>
      </c>
      <c r="AE196" s="68">
        <f>SUM(AE190:AE195)</f>
        <v>779</v>
      </c>
      <c r="AF196" s="1015">
        <v>3226</v>
      </c>
      <c r="AG196" s="918">
        <v>849</v>
      </c>
      <c r="AH196" s="918">
        <v>846</v>
      </c>
      <c r="AI196" s="68">
        <f>SUM(AI190:AI195)</f>
        <v>863</v>
      </c>
      <c r="AJ196" s="68">
        <f>SUM(AJ190:AJ195)</f>
        <v>756</v>
      </c>
      <c r="AK196" s="1015">
        <v>3314</v>
      </c>
      <c r="AL196" s="918">
        <v>882</v>
      </c>
      <c r="AM196" s="68">
        <f>SUM(AM190:AM195)</f>
        <v>921</v>
      </c>
      <c r="AN196" s="68">
        <f>SUM(AN190:AN195)</f>
        <v>994</v>
      </c>
      <c r="AO196" s="68">
        <f>SUM(AO190:AO195)</f>
        <v>755</v>
      </c>
      <c r="AP196" s="1015">
        <v>3552</v>
      </c>
      <c r="AQ196" s="918">
        <v>1058</v>
      </c>
      <c r="AR196" s="68">
        <f>SUM(AR190:AR195)</f>
        <v>1080</v>
      </c>
      <c r="AS196" s="68">
        <f>SUM(AS190:AS195)</f>
        <v>1031</v>
      </c>
      <c r="AT196" s="918">
        <v>850</v>
      </c>
      <c r="AU196" s="1014">
        <f>SUM(AU190:AU195)</f>
        <v>4019</v>
      </c>
      <c r="AV196" s="68">
        <f>SUM(AV190:AV195)</f>
        <v>942</v>
      </c>
      <c r="AW196" s="68">
        <f>SUM(AW190:AW195)</f>
        <v>946</v>
      </c>
      <c r="AX196" s="68">
        <f t="shared" si="462" ref="AX196:AY196">SUM(AX190:AX195)</f>
        <v>910</v>
      </c>
      <c r="AY196" s="68">
        <f t="shared" si="462"/>
        <v>817</v>
      </c>
      <c r="AZ196" s="1014">
        <f t="shared" si="463" ref="AZ196:BJ196">SUM(AZ190:AZ195)</f>
        <v>3613</v>
      </c>
      <c r="BA196" s="68">
        <f t="shared" si="464" ref="BA196:BI196">SUM(BA190:BA195)</f>
        <v>953</v>
      </c>
      <c r="BB196" s="68">
        <f t="shared" si="464"/>
        <v>953</v>
      </c>
      <c r="BC196" s="68">
        <f t="shared" si="464"/>
        <v>1095</v>
      </c>
      <c r="BD196" s="68">
        <f t="shared" si="464"/>
        <v>732</v>
      </c>
      <c r="BE196" s="1014">
        <f t="shared" si="464"/>
        <v>3732</v>
      </c>
      <c r="BF196" s="68">
        <f>SUM(BF190:BF195)</f>
        <v>961</v>
      </c>
      <c r="BG196" s="68">
        <f>SUM(BG190:BG195)</f>
        <v>1035</v>
      </c>
      <c r="BH196" s="759">
        <f>SUM(BH190:BH195)</f>
        <v>1211</v>
      </c>
      <c r="BI196" s="141">
        <f t="shared" si="464"/>
        <v>826.62396401704973</v>
      </c>
      <c r="BJ196" s="1016">
        <f t="shared" si="463"/>
        <v>4033.6239640170497</v>
      </c>
      <c r="BK196" s="141">
        <f t="shared" si="465" ref="BK196:BR196">SUM(BK190:BK195)</f>
        <v>950.86561128176675</v>
      </c>
      <c r="BL196" s="141">
        <f t="shared" si="465"/>
        <v>955.46545929424644</v>
      </c>
      <c r="BM196" s="141">
        <f t="shared" si="465"/>
        <v>930.68046835653638</v>
      </c>
      <c r="BN196" s="141">
        <f t="shared" si="465"/>
        <v>1025.5970899323759</v>
      </c>
      <c r="BO196" s="1016">
        <f t="shared" si="465"/>
        <v>3862.6086288649253</v>
      </c>
      <c r="BP196" s="1016">
        <f t="shared" si="465"/>
        <v>4098.3757074884488</v>
      </c>
      <c r="BQ196" s="1016">
        <f t="shared" si="465"/>
        <v>4042.6527069076196</v>
      </c>
      <c r="BR196" s="1016">
        <f t="shared" si="465"/>
        <v>3053.6098213295713</v>
      </c>
      <c r="BS196" s="76"/>
    </row>
    <row r="197" spans="1:71" s="43" customFormat="1" ht="15" hidden="1" outlineLevel="1">
      <c r="A197" s="607" t="s">
        <v>54</v>
      </c>
      <c r="B197" s="345"/>
      <c r="C197" s="1005"/>
      <c r="D197" s="1005"/>
      <c r="E197" s="1005"/>
      <c r="F197" s="1005"/>
      <c r="G197" s="1005"/>
      <c r="H197" s="347"/>
      <c r="I197" s="347"/>
      <c r="J197" s="347"/>
      <c r="K197" s="347"/>
      <c r="L197" s="1017">
        <f>SUM(H197,I197,J197,K197)</f>
        <v>0</v>
      </c>
      <c r="M197" s="347"/>
      <c r="N197" s="347"/>
      <c r="O197" s="347"/>
      <c r="P197" s="911">
        <v>0</v>
      </c>
      <c r="Q197" s="1017">
        <f>SUM(M197,N197,O197,P197)</f>
        <v>0</v>
      </c>
      <c r="R197" s="911">
        <v>0</v>
      </c>
      <c r="S197" s="911">
        <v>0</v>
      </c>
      <c r="T197" s="911">
        <v>0</v>
      </c>
      <c r="U197" s="911">
        <v>0</v>
      </c>
      <c r="V197" s="1017">
        <f>SUM(R197,S197,T197,U197)</f>
        <v>0</v>
      </c>
      <c r="W197" s="911">
        <v>5</v>
      </c>
      <c r="X197" s="911">
        <v>-9</v>
      </c>
      <c r="Y197" s="911">
        <v>-29</v>
      </c>
      <c r="Z197" s="911">
        <v>-10</v>
      </c>
      <c r="AA197" s="1017">
        <f>SUM(W197,X197,Y197,Z197)</f>
        <v>-43</v>
      </c>
      <c r="AB197" s="911">
        <v>21</v>
      </c>
      <c r="AC197" s="911">
        <v>7</v>
      </c>
      <c r="AD197" s="911">
        <v>-1</v>
      </c>
      <c r="AE197" s="911">
        <v>1</v>
      </c>
      <c r="AF197" s="1004">
        <v>28</v>
      </c>
      <c r="AG197" s="911">
        <v>-8</v>
      </c>
      <c r="AH197" s="911">
        <v>-4</v>
      </c>
      <c r="AI197" s="911">
        <v>15</v>
      </c>
      <c r="AJ197" s="911">
        <v>13</v>
      </c>
      <c r="AK197" s="1004">
        <v>15</v>
      </c>
      <c r="AL197" s="911">
        <v>9</v>
      </c>
      <c r="AM197" s="911">
        <v>5</v>
      </c>
      <c r="AN197" s="911">
        <v>3</v>
      </c>
      <c r="AO197" s="911">
        <v>14</v>
      </c>
      <c r="AP197" s="1017">
        <f>SUM(AL197,AM197,AN197,AO197)</f>
        <v>31</v>
      </c>
      <c r="AQ197" s="911">
        <v>13</v>
      </c>
      <c r="AR197" s="911">
        <v>-6</v>
      </c>
      <c r="AS197" s="911">
        <v>-14</v>
      </c>
      <c r="AT197" s="911">
        <v>-30</v>
      </c>
      <c r="AU197" s="1017">
        <f>SUM(AQ197,AR197,AS197,AT197)</f>
        <v>-37</v>
      </c>
      <c r="AV197" s="347"/>
      <c r="AW197" s="347"/>
      <c r="AX197" s="347"/>
      <c r="AY197" s="347"/>
      <c r="AZ197" s="1005"/>
      <c r="BA197" s="911">
        <v>-41</v>
      </c>
      <c r="BB197" s="911">
        <v>-25</v>
      </c>
      <c r="BC197" s="911">
        <v>-33</v>
      </c>
      <c r="BD197" s="911">
        <v>-14</v>
      </c>
      <c r="BE197" s="1017">
        <f>SUM(BA197,BB197,BC197,BD197)</f>
        <v>-113</v>
      </c>
      <c r="BF197" s="911">
        <v>-44</v>
      </c>
      <c r="BG197" s="911">
        <v>-37</v>
      </c>
      <c r="BH197" s="915">
        <v>-16</v>
      </c>
      <c r="BI197" s="911">
        <v>0</v>
      </c>
      <c r="BJ197" s="1005">
        <f>SUM(BF197,BG197,BH197,BI197)</f>
        <v>-97</v>
      </c>
      <c r="BK197" s="911">
        <v>0</v>
      </c>
      <c r="BL197" s="911">
        <v>0</v>
      </c>
      <c r="BM197" s="911">
        <v>0</v>
      </c>
      <c r="BN197" s="911">
        <v>0</v>
      </c>
      <c r="BO197" s="1005">
        <f>SUM(BK197,BL197,BM197,BN197)</f>
        <v>0</v>
      </c>
      <c r="BP197" s="1004">
        <v>0</v>
      </c>
      <c r="BQ197" s="1004">
        <v>0</v>
      </c>
      <c r="BR197" s="1004">
        <v>0</v>
      </c>
      <c r="BS197" s="76"/>
    </row>
    <row r="198" spans="1:71" s="43" customFormat="1" ht="15" hidden="1" outlineLevel="1">
      <c r="A198" s="350" t="s">
        <v>55</v>
      </c>
      <c r="B198" s="206"/>
      <c r="C198" s="1014">
        <f t="shared" si="466" ref="C198:W198">C196-C197</f>
        <v>2277</v>
      </c>
      <c r="D198" s="1014">
        <f t="shared" si="466"/>
        <v>2618</v>
      </c>
      <c r="E198" s="1014">
        <f t="shared" si="466"/>
        <v>2946</v>
      </c>
      <c r="F198" s="1014">
        <f t="shared" si="466"/>
        <v>3097</v>
      </c>
      <c r="G198" s="1014">
        <f t="shared" si="466"/>
        <v>2887</v>
      </c>
      <c r="H198" s="68">
        <f t="shared" si="466"/>
        <v>774</v>
      </c>
      <c r="I198" s="68">
        <f t="shared" si="466"/>
        <v>757</v>
      </c>
      <c r="J198" s="68">
        <f t="shared" si="466"/>
        <v>685</v>
      </c>
      <c r="K198" s="68">
        <f t="shared" si="466"/>
        <v>581</v>
      </c>
      <c r="L198" s="1014">
        <f t="shared" si="466"/>
        <v>2797</v>
      </c>
      <c r="M198" s="68">
        <f t="shared" si="466"/>
        <v>678</v>
      </c>
      <c r="N198" s="68">
        <f t="shared" si="466"/>
        <v>651</v>
      </c>
      <c r="O198" s="68">
        <f t="shared" si="466"/>
        <v>672</v>
      </c>
      <c r="P198" s="68">
        <f t="shared" si="466"/>
        <v>668</v>
      </c>
      <c r="Q198" s="1014">
        <f t="shared" si="466"/>
        <v>2669</v>
      </c>
      <c r="R198" s="68">
        <f t="shared" si="466"/>
        <v>705</v>
      </c>
      <c r="S198" s="68">
        <f t="shared" si="466"/>
        <v>683</v>
      </c>
      <c r="T198" s="68">
        <f t="shared" si="466"/>
        <v>713</v>
      </c>
      <c r="U198" s="68">
        <f t="shared" si="466"/>
        <v>589</v>
      </c>
      <c r="V198" s="1014">
        <f t="shared" si="466"/>
        <v>2690</v>
      </c>
      <c r="W198" s="68">
        <f t="shared" si="466"/>
        <v>671</v>
      </c>
      <c r="X198" s="918">
        <v>739</v>
      </c>
      <c r="Y198" s="68">
        <f>Y196-Y197</f>
        <v>705</v>
      </c>
      <c r="Z198" s="68">
        <f>Z196-Z197</f>
        <v>643</v>
      </c>
      <c r="AA198" s="1014">
        <f>AA196-AA197</f>
        <v>2990</v>
      </c>
      <c r="AB198" s="68">
        <f>AB196-AB197</f>
        <v>800</v>
      </c>
      <c r="AC198" s="918">
        <v>827</v>
      </c>
      <c r="AD198" s="68">
        <f>AD196-AD197</f>
        <v>793</v>
      </c>
      <c r="AE198" s="68">
        <f>AE196-AE197</f>
        <v>778</v>
      </c>
      <c r="AF198" s="1014">
        <f>AF196-AF197</f>
        <v>3198</v>
      </c>
      <c r="AG198" s="68">
        <f>AG196-AG197</f>
        <v>857</v>
      </c>
      <c r="AH198" s="918">
        <v>851</v>
      </c>
      <c r="AI198" s="68">
        <f t="shared" si="467" ref="AI198:AT198">AI196-AI197</f>
        <v>848</v>
      </c>
      <c r="AJ198" s="68">
        <f t="shared" si="467"/>
        <v>743</v>
      </c>
      <c r="AK198" s="1014">
        <f t="shared" si="467"/>
        <v>3299</v>
      </c>
      <c r="AL198" s="68">
        <f t="shared" si="467"/>
        <v>873</v>
      </c>
      <c r="AM198" s="68">
        <f t="shared" si="467"/>
        <v>916</v>
      </c>
      <c r="AN198" s="68">
        <f t="shared" si="467"/>
        <v>991</v>
      </c>
      <c r="AO198" s="68">
        <f t="shared" si="467"/>
        <v>741</v>
      </c>
      <c r="AP198" s="1014">
        <f t="shared" si="467"/>
        <v>3521</v>
      </c>
      <c r="AQ198" s="68">
        <f t="shared" si="467"/>
        <v>1045</v>
      </c>
      <c r="AR198" s="68">
        <f t="shared" si="467"/>
        <v>1086</v>
      </c>
      <c r="AS198" s="68">
        <f t="shared" si="467"/>
        <v>1045</v>
      </c>
      <c r="AT198" s="68">
        <f t="shared" si="467"/>
        <v>880</v>
      </c>
      <c r="AU198" s="1015">
        <v>4057</v>
      </c>
      <c r="AV198" s="68">
        <f t="shared" si="468" ref="AV198:BD198">AV196-AV197</f>
        <v>942</v>
      </c>
      <c r="AW198" s="68">
        <f t="shared" si="468"/>
        <v>946</v>
      </c>
      <c r="AX198" s="68">
        <f t="shared" si="468"/>
        <v>910</v>
      </c>
      <c r="AY198" s="68">
        <f t="shared" si="468"/>
        <v>817</v>
      </c>
      <c r="AZ198" s="1014">
        <f t="shared" si="468"/>
        <v>3613</v>
      </c>
      <c r="BA198" s="68">
        <f t="shared" si="468"/>
        <v>994</v>
      </c>
      <c r="BB198" s="68">
        <f t="shared" si="468"/>
        <v>978</v>
      </c>
      <c r="BC198" s="76">
        <f t="shared" si="468"/>
        <v>1128</v>
      </c>
      <c r="BD198" s="76">
        <f t="shared" si="468"/>
        <v>746</v>
      </c>
      <c r="BE198" s="1015">
        <v>3847</v>
      </c>
      <c r="BF198" s="68">
        <f>BF196-BF197</f>
        <v>1005</v>
      </c>
      <c r="BG198" s="68">
        <f>BG196-BG197</f>
        <v>1072</v>
      </c>
      <c r="BH198" s="758">
        <f>BH196-BH197</f>
        <v>1227</v>
      </c>
      <c r="BI198" s="141">
        <f t="shared" si="469" ref="BI198:BR198">BI196-BI197</f>
        <v>826.62396401704973</v>
      </c>
      <c r="BJ198" s="1016">
        <f t="shared" si="469"/>
        <v>4130.6239640170497</v>
      </c>
      <c r="BK198" s="141">
        <f t="shared" si="469"/>
        <v>950.86561128176675</v>
      </c>
      <c r="BL198" s="141">
        <f t="shared" si="469"/>
        <v>955.46545929424644</v>
      </c>
      <c r="BM198" s="141">
        <f t="shared" si="469"/>
        <v>930.68046835653638</v>
      </c>
      <c r="BN198" s="141">
        <f t="shared" si="469"/>
        <v>1025.5970899323759</v>
      </c>
      <c r="BO198" s="1016">
        <f t="shared" si="469"/>
        <v>3862.6086288649253</v>
      </c>
      <c r="BP198" s="1016">
        <f t="shared" si="469"/>
        <v>4098.3757074884488</v>
      </c>
      <c r="BQ198" s="1016">
        <f t="shared" si="469"/>
        <v>4042.6527069076196</v>
      </c>
      <c r="BR198" s="1016">
        <f t="shared" si="469"/>
        <v>3053.6098213295713</v>
      </c>
      <c r="BS198" s="76"/>
    </row>
    <row r="199" spans="1:71" s="43" customFormat="1" ht="15" collapsed="1">
      <c r="A199" s="501"/>
      <c r="B199" s="502"/>
      <c r="C199" s="1018"/>
      <c r="D199" s="1018"/>
      <c r="E199" s="1018"/>
      <c r="F199" s="1018"/>
      <c r="G199" s="1018"/>
      <c r="H199" s="839"/>
      <c r="I199" s="839"/>
      <c r="J199" s="839"/>
      <c r="K199" s="839"/>
      <c r="L199" s="1018"/>
      <c r="M199" s="839"/>
      <c r="N199" s="839"/>
      <c r="O199" s="839"/>
      <c r="P199" s="839"/>
      <c r="Q199" s="1018"/>
      <c r="R199" s="839"/>
      <c r="S199" s="839"/>
      <c r="T199" s="839"/>
      <c r="U199" s="839"/>
      <c r="V199" s="1018"/>
      <c r="W199" s="839"/>
      <c r="X199" s="839"/>
      <c r="Y199" s="839"/>
      <c r="Z199" s="839"/>
      <c r="AA199" s="1018"/>
      <c r="AB199" s="839"/>
      <c r="AC199" s="839"/>
      <c r="AD199" s="839"/>
      <c r="AE199" s="839"/>
      <c r="AF199" s="1018"/>
      <c r="AG199" s="839"/>
      <c r="AH199" s="839"/>
      <c r="AI199" s="839"/>
      <c r="AJ199" s="839"/>
      <c r="AK199" s="1018"/>
      <c r="AL199" s="839"/>
      <c r="AM199" s="839"/>
      <c r="AN199" s="839"/>
      <c r="AO199" s="839"/>
      <c r="AP199" s="1018"/>
      <c r="AQ199" s="839"/>
      <c r="AR199" s="839"/>
      <c r="AS199" s="839"/>
      <c r="AT199" s="839"/>
      <c r="AU199" s="1018"/>
      <c r="AV199" s="839"/>
      <c r="AW199" s="839"/>
      <c r="AX199" s="839"/>
      <c r="AY199" s="839"/>
      <c r="AZ199" s="1018"/>
      <c r="BA199" s="839"/>
      <c r="BB199" s="839"/>
      <c r="BC199" s="839"/>
      <c r="BD199" s="839"/>
      <c r="BE199" s="1018"/>
      <c r="BF199" s="839"/>
      <c r="BG199" s="839"/>
      <c r="BH199" s="840"/>
      <c r="BI199" s="839"/>
      <c r="BJ199" s="1018"/>
      <c r="BK199" s="839"/>
      <c r="BL199" s="839"/>
      <c r="BM199" s="839"/>
      <c r="BN199" s="839"/>
      <c r="BO199" s="1018"/>
      <c r="BP199" s="1018"/>
      <c r="BQ199" s="1018"/>
      <c r="BR199" s="1018"/>
      <c r="BS199" s="475"/>
    </row>
    <row r="200" spans="1:71" s="43" customFormat="1" ht="15">
      <c r="A200" s="812" t="s">
        <v>56</v>
      </c>
      <c r="B200" s="812"/>
      <c r="C200" s="828"/>
      <c r="D200" s="828"/>
      <c r="E200" s="828"/>
      <c r="F200" s="828"/>
      <c r="G200" s="828"/>
      <c r="H200" s="828"/>
      <c r="I200" s="828"/>
      <c r="J200" s="828"/>
      <c r="K200" s="828"/>
      <c r="L200" s="828"/>
      <c r="M200" s="828"/>
      <c r="N200" s="828"/>
      <c r="O200" s="828"/>
      <c r="P200" s="828"/>
      <c r="Q200" s="828"/>
      <c r="R200" s="828"/>
      <c r="S200" s="828"/>
      <c r="T200" s="828"/>
      <c r="U200" s="828"/>
      <c r="V200" s="828"/>
      <c r="W200" s="828"/>
      <c r="X200" s="828"/>
      <c r="Y200" s="828"/>
      <c r="Z200" s="828"/>
      <c r="AA200" s="828"/>
      <c r="AB200" s="828"/>
      <c r="AC200" s="828"/>
      <c r="AD200" s="828"/>
      <c r="AE200" s="828"/>
      <c r="AF200" s="828"/>
      <c r="AG200" s="828"/>
      <c r="AH200" s="828"/>
      <c r="AI200" s="828"/>
      <c r="AJ200" s="828"/>
      <c r="AK200" s="828"/>
      <c r="AL200" s="828"/>
      <c r="AM200" s="828"/>
      <c r="AN200" s="828"/>
      <c r="AO200" s="828"/>
      <c r="AP200" s="828"/>
      <c r="AQ200" s="828"/>
      <c r="AR200" s="828"/>
      <c r="AS200" s="828"/>
      <c r="AT200" s="828"/>
      <c r="AU200" s="828"/>
      <c r="AV200" s="828"/>
      <c r="AW200" s="828"/>
      <c r="AX200" s="828"/>
      <c r="AY200" s="828"/>
      <c r="AZ200" s="828"/>
      <c r="BA200" s="828"/>
      <c r="BB200" s="828"/>
      <c r="BC200" s="828"/>
      <c r="BD200" s="828"/>
      <c r="BE200" s="828"/>
      <c r="BF200" s="828"/>
      <c r="BG200" s="828"/>
      <c r="BH200" s="829"/>
      <c r="BI200" s="828"/>
      <c r="BJ200" s="828"/>
      <c r="BK200" s="828"/>
      <c r="BL200" s="828"/>
      <c r="BM200" s="828"/>
      <c r="BN200" s="828"/>
      <c r="BO200" s="828"/>
      <c r="BP200" s="828"/>
      <c r="BQ200" s="828"/>
      <c r="BR200" s="828"/>
      <c r="BS200" s="475"/>
    </row>
    <row r="201" spans="1:71" s="224" customFormat="1" ht="15">
      <c r="A201" s="228" t="s">
        <v>57</v>
      </c>
      <c r="B201" s="363"/>
      <c r="C201" s="970">
        <f t="shared" si="470" ref="C201:AM201">+C163</f>
        <v>16621</v>
      </c>
      <c r="D201" s="970">
        <f t="shared" si="470"/>
        <v>18073</v>
      </c>
      <c r="E201" s="970">
        <f t="shared" si="470"/>
        <v>20362</v>
      </c>
      <c r="F201" s="970">
        <f t="shared" si="470"/>
        <v>22148</v>
      </c>
      <c r="G201" s="970">
        <f t="shared" si="470"/>
        <v>20135</v>
      </c>
      <c r="H201" s="229">
        <f t="shared" si="470"/>
        <v>4854</v>
      </c>
      <c r="I201" s="229">
        <f t="shared" si="470"/>
        <v>4888</v>
      </c>
      <c r="J201" s="229">
        <f t="shared" si="470"/>
        <v>4841</v>
      </c>
      <c r="K201" s="229">
        <f t="shared" si="470"/>
        <v>4489</v>
      </c>
      <c r="L201" s="970">
        <f t="shared" si="470"/>
        <v>19072</v>
      </c>
      <c r="M201" s="229">
        <f t="shared" si="470"/>
        <v>4432</v>
      </c>
      <c r="N201" s="229">
        <f t="shared" si="470"/>
        <v>4364</v>
      </c>
      <c r="O201" s="229">
        <f t="shared" si="470"/>
        <v>4380</v>
      </c>
      <c r="P201" s="229">
        <f t="shared" si="470"/>
        <v>4394</v>
      </c>
      <c r="Q201" s="970">
        <f t="shared" si="470"/>
        <v>17570</v>
      </c>
      <c r="R201" s="229">
        <f t="shared" si="470"/>
        <v>4602</v>
      </c>
      <c r="S201" s="229">
        <f t="shared" si="470"/>
        <v>4823</v>
      </c>
      <c r="T201" s="229">
        <f t="shared" si="470"/>
        <v>5022</v>
      </c>
      <c r="U201" s="229">
        <f t="shared" si="470"/>
        <v>4778</v>
      </c>
      <c r="V201" s="970">
        <f t="shared" si="470"/>
        <v>19225</v>
      </c>
      <c r="W201" s="229">
        <f t="shared" si="470"/>
        <v>4638</v>
      </c>
      <c r="X201" s="229">
        <f t="shared" si="470"/>
        <v>4665</v>
      </c>
      <c r="Y201" s="229">
        <f t="shared" si="470"/>
        <v>4648</v>
      </c>
      <c r="Z201" s="229">
        <f t="shared" si="470"/>
        <v>4580</v>
      </c>
      <c r="AA201" s="970">
        <f t="shared" si="470"/>
        <v>18531</v>
      </c>
      <c r="AB201" s="229">
        <f t="shared" si="470"/>
        <v>4745</v>
      </c>
      <c r="AC201" s="229">
        <f t="shared" si="470"/>
        <v>4706</v>
      </c>
      <c r="AD201" s="229">
        <f t="shared" si="470"/>
        <v>4636</v>
      </c>
      <c r="AE201" s="229">
        <f t="shared" si="470"/>
        <v>4590</v>
      </c>
      <c r="AF201" s="970">
        <f t="shared" si="470"/>
        <v>18677</v>
      </c>
      <c r="AG201" s="229">
        <f t="shared" si="470"/>
        <v>4691</v>
      </c>
      <c r="AH201" s="229">
        <f t="shared" si="470"/>
        <v>4681</v>
      </c>
      <c r="AI201" s="229">
        <f t="shared" si="470"/>
        <v>4736</v>
      </c>
      <c r="AJ201" s="229">
        <f t="shared" si="470"/>
        <v>4672</v>
      </c>
      <c r="AK201" s="970">
        <f t="shared" si="470"/>
        <v>18780</v>
      </c>
      <c r="AL201" s="229">
        <f t="shared" si="470"/>
        <v>4681</v>
      </c>
      <c r="AM201" s="229">
        <f t="shared" si="470"/>
        <v>4664</v>
      </c>
      <c r="AN201" s="229">
        <f t="shared" si="471" ref="AN201:AQ201">+AN163</f>
        <v>4623</v>
      </c>
      <c r="AO201" s="229">
        <f t="shared" si="471"/>
        <v>4654</v>
      </c>
      <c r="AP201" s="970">
        <f t="shared" si="471"/>
        <v>18622</v>
      </c>
      <c r="AQ201" s="229">
        <f t="shared" si="471"/>
        <v>4593</v>
      </c>
      <c r="AR201" s="229">
        <f t="shared" si="472" ref="AR201:AU202">+AR163</f>
        <v>4441</v>
      </c>
      <c r="AS201" s="229">
        <f t="shared" si="472"/>
        <v>4372</v>
      </c>
      <c r="AT201" s="229">
        <f t="shared" si="472"/>
        <v>4241</v>
      </c>
      <c r="AU201" s="970">
        <f t="shared" si="472"/>
        <v>17647</v>
      </c>
      <c r="AV201" s="229">
        <f t="shared" si="473" ref="AV201:AX202">+AV163</f>
        <v>4079</v>
      </c>
      <c r="AW201" s="229">
        <f t="shared" si="473"/>
        <v>3764</v>
      </c>
      <c r="AX201" s="229">
        <f t="shared" si="473"/>
        <v>3535</v>
      </c>
      <c r="AY201" s="229">
        <f t="shared" si="474" ref="AY201:BA202">+AY163</f>
        <v>3523</v>
      </c>
      <c r="AZ201" s="970">
        <f t="shared" si="474"/>
        <v>14901</v>
      </c>
      <c r="BA201" s="229">
        <f t="shared" si="474"/>
        <v>3688</v>
      </c>
      <c r="BB201" s="229">
        <f t="shared" si="475" ref="BB201:BE202">+BB163</f>
        <v>3573</v>
      </c>
      <c r="BC201" s="229">
        <f t="shared" si="475"/>
        <v>3476</v>
      </c>
      <c r="BD201" s="229">
        <f t="shared" si="475"/>
        <v>3386</v>
      </c>
      <c r="BE201" s="970">
        <f t="shared" si="475"/>
        <v>14123</v>
      </c>
      <c r="BF201" s="229">
        <f t="shared" si="476" ref="BF201:BH202">+BF163</f>
        <v>3456</v>
      </c>
      <c r="BG201" s="229">
        <f t="shared" si="476"/>
        <v>3325</v>
      </c>
      <c r="BH201" s="738">
        <f t="shared" si="476"/>
        <v>3328</v>
      </c>
      <c r="BI201" s="176">
        <f>BI18</f>
        <v>3717.12</v>
      </c>
      <c r="BJ201" s="971">
        <f>SUM(BF201,BG201,BH201,BI201)</f>
        <v>13826.12</v>
      </c>
      <c r="BK201" s="176">
        <f>BK18</f>
        <v>3257.5749999999998</v>
      </c>
      <c r="BL201" s="176">
        <f>BL18</f>
        <v>3244.4250000000002</v>
      </c>
      <c r="BM201" s="176">
        <f>BM18</f>
        <v>3481.6449999999995</v>
      </c>
      <c r="BN201" s="176">
        <f>BN18</f>
        <v>3967.2956000000004</v>
      </c>
      <c r="BO201" s="971">
        <f>SUM(BK201,BL201,BM201,BN201)</f>
        <v>13950.940600000002</v>
      </c>
      <c r="BP201" s="971">
        <f>BP18</f>
        <v>14059.063203</v>
      </c>
      <c r="BQ201" s="971">
        <f>BQ18</f>
        <v>14168.120098014999</v>
      </c>
      <c r="BR201" s="971">
        <f>BR18</f>
        <v>14278.119893295074</v>
      </c>
      <c r="BS201" s="229"/>
    </row>
    <row r="202" spans="1:71" s="224" customFormat="1" ht="15">
      <c r="A202" s="228" t="s">
        <v>58</v>
      </c>
      <c r="B202" s="363"/>
      <c r="C202" s="970">
        <f t="shared" si="477" ref="C202:AM202">+C164</f>
        <v>2765</v>
      </c>
      <c r="D202" s="970">
        <f t="shared" si="477"/>
        <v>3007</v>
      </c>
      <c r="E202" s="970">
        <f t="shared" si="477"/>
        <v>3280</v>
      </c>
      <c r="F202" s="970">
        <f t="shared" si="477"/>
        <v>3473</v>
      </c>
      <c r="G202" s="970">
        <f t="shared" si="477"/>
        <v>3293</v>
      </c>
      <c r="H202" s="229">
        <f t="shared" si="477"/>
        <v>827</v>
      </c>
      <c r="I202" s="229">
        <f t="shared" si="477"/>
        <v>843</v>
      </c>
      <c r="J202" s="229">
        <f t="shared" si="477"/>
        <v>841</v>
      </c>
      <c r="K202" s="229">
        <f t="shared" si="477"/>
        <v>808</v>
      </c>
      <c r="L202" s="970">
        <f t="shared" si="477"/>
        <v>3319</v>
      </c>
      <c r="M202" s="229">
        <f t="shared" si="477"/>
        <v>782</v>
      </c>
      <c r="N202" s="229">
        <f t="shared" si="477"/>
        <v>777</v>
      </c>
      <c r="O202" s="229">
        <f t="shared" si="477"/>
        <v>784</v>
      </c>
      <c r="P202" s="229">
        <f t="shared" si="477"/>
        <v>792</v>
      </c>
      <c r="Q202" s="970">
        <f t="shared" si="477"/>
        <v>3135</v>
      </c>
      <c r="R202" s="229">
        <f t="shared" si="477"/>
        <v>801</v>
      </c>
      <c r="S202" s="130">
        <f t="shared" si="477"/>
        <v>822</v>
      </c>
      <c r="T202" s="229">
        <f t="shared" si="477"/>
        <v>842</v>
      </c>
      <c r="U202" s="229">
        <f t="shared" si="477"/>
        <v>813</v>
      </c>
      <c r="V202" s="970">
        <f t="shared" si="477"/>
        <v>3278</v>
      </c>
      <c r="W202" s="229">
        <f t="shared" si="477"/>
        <v>794</v>
      </c>
      <c r="X202" s="130">
        <f t="shared" si="477"/>
        <v>802</v>
      </c>
      <c r="Y202" s="229">
        <f t="shared" si="477"/>
        <v>811</v>
      </c>
      <c r="Z202" s="229">
        <f t="shared" si="477"/>
        <v>813</v>
      </c>
      <c r="AA202" s="970">
        <f t="shared" si="477"/>
        <v>3220</v>
      </c>
      <c r="AB202" s="229">
        <f t="shared" si="477"/>
        <v>837</v>
      </c>
      <c r="AC202" s="130">
        <f t="shared" si="477"/>
        <v>862</v>
      </c>
      <c r="AD202" s="229">
        <f t="shared" si="477"/>
        <v>870</v>
      </c>
      <c r="AE202" s="229">
        <f t="shared" si="477"/>
        <v>873</v>
      </c>
      <c r="AF202" s="970">
        <f t="shared" si="477"/>
        <v>3442</v>
      </c>
      <c r="AG202" s="229">
        <f t="shared" si="477"/>
        <v>878</v>
      </c>
      <c r="AH202" s="130">
        <f t="shared" si="477"/>
        <v>878</v>
      </c>
      <c r="AI202" s="229">
        <f t="shared" si="477"/>
        <v>936</v>
      </c>
      <c r="AJ202" s="229">
        <f t="shared" si="477"/>
        <v>886</v>
      </c>
      <c r="AK202" s="970">
        <f t="shared" si="477"/>
        <v>3578</v>
      </c>
      <c r="AL202" s="229">
        <f t="shared" si="477"/>
        <v>904</v>
      </c>
      <c r="AM202" s="130">
        <f t="shared" si="477"/>
        <v>870</v>
      </c>
      <c r="AN202" s="229">
        <f t="shared" si="478" ref="AN202:AQ202">+AN164</f>
        <v>896</v>
      </c>
      <c r="AO202" s="229">
        <f t="shared" si="478"/>
        <v>968</v>
      </c>
      <c r="AP202" s="970">
        <f t="shared" si="478"/>
        <v>3638</v>
      </c>
      <c r="AQ202" s="229">
        <f t="shared" si="478"/>
        <v>925</v>
      </c>
      <c r="AR202" s="130">
        <f t="shared" si="472"/>
        <v>993</v>
      </c>
      <c r="AS202" s="229">
        <f t="shared" si="472"/>
        <v>991</v>
      </c>
      <c r="AT202" s="229">
        <f t="shared" si="472"/>
        <v>909</v>
      </c>
      <c r="AU202" s="970">
        <f t="shared" si="472"/>
        <v>3818</v>
      </c>
      <c r="AV202" s="229">
        <f t="shared" si="473"/>
        <v>903</v>
      </c>
      <c r="AW202" s="130">
        <f t="shared" si="473"/>
        <v>937</v>
      </c>
      <c r="AX202" s="229">
        <f t="shared" si="473"/>
        <v>920</v>
      </c>
      <c r="AY202" s="229">
        <f t="shared" si="474"/>
        <v>896</v>
      </c>
      <c r="AZ202" s="970">
        <f t="shared" si="474"/>
        <v>3656</v>
      </c>
      <c r="BA202" s="229">
        <f t="shared" si="474"/>
        <v>943</v>
      </c>
      <c r="BB202" s="130">
        <f t="shared" si="475"/>
        <v>999</v>
      </c>
      <c r="BC202" s="229">
        <f t="shared" si="475"/>
        <v>1004</v>
      </c>
      <c r="BD202" s="229">
        <f t="shared" si="475"/>
        <v>865</v>
      </c>
      <c r="BE202" s="970">
        <f t="shared" si="475"/>
        <v>3811</v>
      </c>
      <c r="BF202" s="229">
        <f t="shared" si="476"/>
        <v>1000</v>
      </c>
      <c r="BG202" s="130">
        <f t="shared" si="476"/>
        <v>1095</v>
      </c>
      <c r="BH202" s="738">
        <f t="shared" si="476"/>
        <v>1006</v>
      </c>
      <c r="BI202" s="176">
        <f>BI72</f>
        <v>1212.912917486339</v>
      </c>
      <c r="BJ202" s="1019">
        <f>SUM(BF202,BG202,BH202,BI202)</f>
        <v>4313.9129174863392</v>
      </c>
      <c r="BK202" s="176">
        <f>BK72</f>
        <v>802.34091698630152</v>
      </c>
      <c r="BL202" s="176">
        <f>BL72</f>
        <v>787.62408328767128</v>
      </c>
      <c r="BM202" s="176">
        <f>BM72</f>
        <v>786.0607251506849</v>
      </c>
      <c r="BN202" s="176">
        <f>BN72</f>
        <v>839.74370049863012</v>
      </c>
      <c r="BO202" s="1019">
        <f>SUM(BK202,BL202,BM202,BN202)</f>
        <v>3215.7694259232876</v>
      </c>
      <c r="BP202" s="1019">
        <f>BP72</f>
        <v>3260.4782447287503</v>
      </c>
      <c r="BQ202" s="1019">
        <f>BQ72</f>
        <v>3320.829441294788</v>
      </c>
      <c r="BR202" s="1019">
        <f>BR72</f>
        <v>3383.3274705324234</v>
      </c>
      <c r="BS202" s="229"/>
    </row>
    <row r="203" spans="1:71" s="224" customFormat="1" ht="15">
      <c r="A203" s="228" t="s">
        <v>59</v>
      </c>
      <c r="B203" s="363"/>
      <c r="C203" s="970">
        <f t="shared" si="479" ref="C203:AM203">+C170</f>
        <v>-1212</v>
      </c>
      <c r="D203" s="970">
        <f t="shared" si="479"/>
        <v>-422</v>
      </c>
      <c r="E203" s="970">
        <f t="shared" si="479"/>
        <v>-1552</v>
      </c>
      <c r="F203" s="970">
        <f t="shared" si="479"/>
        <v>-349</v>
      </c>
      <c r="G203" s="970">
        <f t="shared" si="479"/>
        <v>399</v>
      </c>
      <c r="H203" s="229">
        <f t="shared" si="479"/>
        <v>-46</v>
      </c>
      <c r="I203" s="229">
        <f t="shared" si="479"/>
        <v>102</v>
      </c>
      <c r="J203" s="229">
        <f t="shared" si="479"/>
        <v>16</v>
      </c>
      <c r="K203" s="229">
        <f t="shared" si="479"/>
        <v>143</v>
      </c>
      <c r="L203" s="970">
        <f t="shared" si="479"/>
        <v>215</v>
      </c>
      <c r="M203" s="229">
        <f t="shared" si="479"/>
        <v>13</v>
      </c>
      <c r="N203" s="229">
        <f t="shared" si="479"/>
        <v>127</v>
      </c>
      <c r="O203" s="229">
        <f t="shared" si="479"/>
        <v>-114</v>
      </c>
      <c r="P203" s="229">
        <f t="shared" si="479"/>
        <v>114</v>
      </c>
      <c r="Q203" s="970">
        <f t="shared" si="479"/>
        <v>140</v>
      </c>
      <c r="R203" s="229">
        <f t="shared" si="479"/>
        <v>30</v>
      </c>
      <c r="S203" s="130">
        <f t="shared" si="479"/>
        <v>-187</v>
      </c>
      <c r="T203" s="229">
        <f t="shared" si="479"/>
        <v>-146</v>
      </c>
      <c r="U203" s="229">
        <f t="shared" si="479"/>
        <v>180</v>
      </c>
      <c r="V203" s="970">
        <f t="shared" si="479"/>
        <v>-123</v>
      </c>
      <c r="W203" s="229">
        <f t="shared" si="479"/>
        <v>-140</v>
      </c>
      <c r="X203" s="130">
        <f t="shared" si="479"/>
        <v>-56</v>
      </c>
      <c r="Y203" s="229">
        <f t="shared" si="479"/>
        <v>30</v>
      </c>
      <c r="Z203" s="229">
        <f t="shared" si="479"/>
        <v>15</v>
      </c>
      <c r="AA203" s="970">
        <f t="shared" si="479"/>
        <v>-151</v>
      </c>
      <c r="AB203" s="229">
        <f t="shared" si="479"/>
        <v>-134</v>
      </c>
      <c r="AC203" s="130">
        <f t="shared" si="479"/>
        <v>3</v>
      </c>
      <c r="AD203" s="229">
        <f t="shared" si="479"/>
        <v>56</v>
      </c>
      <c r="AE203" s="229">
        <f t="shared" si="479"/>
        <v>-355</v>
      </c>
      <c r="AF203" s="970">
        <f t="shared" si="479"/>
        <v>-430</v>
      </c>
      <c r="AG203" s="229">
        <f t="shared" si="479"/>
        <v>71</v>
      </c>
      <c r="AH203" s="130">
        <f t="shared" si="479"/>
        <v>-66</v>
      </c>
      <c r="AI203" s="229">
        <f t="shared" si="479"/>
        <v>-153</v>
      </c>
      <c r="AJ203" s="229">
        <f t="shared" si="479"/>
        <v>13</v>
      </c>
      <c r="AK203" s="970">
        <f t="shared" si="479"/>
        <v>-135</v>
      </c>
      <c r="AL203" s="229">
        <f t="shared" si="479"/>
        <v>-463</v>
      </c>
      <c r="AM203" s="130">
        <f t="shared" si="479"/>
        <v>-170</v>
      </c>
      <c r="AN203" s="229">
        <f t="shared" si="480" ref="AN203:AQ203">+AN170</f>
        <v>108</v>
      </c>
      <c r="AO203" s="229">
        <f t="shared" si="480"/>
        <v>255</v>
      </c>
      <c r="AP203" s="970">
        <f t="shared" si="480"/>
        <v>-270</v>
      </c>
      <c r="AQ203" s="229">
        <f t="shared" si="480"/>
        <v>307</v>
      </c>
      <c r="AR203" s="130">
        <f t="shared" si="481" ref="AR203:AU204">+AR170</f>
        <v>89</v>
      </c>
      <c r="AS203" s="229">
        <f t="shared" si="481"/>
        <v>-171</v>
      </c>
      <c r="AT203" s="229">
        <f t="shared" si="481"/>
        <v>243</v>
      </c>
      <c r="AU203" s="970">
        <f t="shared" si="481"/>
        <v>468</v>
      </c>
      <c r="AV203" s="229">
        <f t="shared" si="482" ref="AV203:AX204">+AV170</f>
        <v>122</v>
      </c>
      <c r="AW203" s="130">
        <f t="shared" si="482"/>
        <v>564</v>
      </c>
      <c r="AX203" s="229">
        <f t="shared" si="482"/>
        <v>199</v>
      </c>
      <c r="AY203" s="229">
        <f t="shared" si="483" ref="AY203:BA204">+AY170</f>
        <v>-522</v>
      </c>
      <c r="AZ203" s="970">
        <f t="shared" si="483"/>
        <v>363</v>
      </c>
      <c r="BA203" s="229">
        <f t="shared" si="483"/>
        <v>123</v>
      </c>
      <c r="BB203" s="130">
        <f t="shared" si="484" ref="BB203:BE204">+BB170</f>
        <v>555</v>
      </c>
      <c r="BC203" s="229">
        <f t="shared" si="484"/>
        <v>423</v>
      </c>
      <c r="BD203" s="229">
        <f t="shared" si="484"/>
        <v>-511</v>
      </c>
      <c r="BE203" s="970">
        <f t="shared" si="484"/>
        <v>590</v>
      </c>
      <c r="BF203" s="229">
        <f t="shared" si="485" ref="BF203:BH204">+BF170</f>
        <v>951</v>
      </c>
      <c r="BG203" s="130">
        <f t="shared" si="485"/>
        <v>696</v>
      </c>
      <c r="BH203" s="738">
        <f t="shared" si="485"/>
        <v>-1408</v>
      </c>
      <c r="BI203" s="176">
        <f>BI78</f>
        <v>20</v>
      </c>
      <c r="BJ203" s="1019">
        <f>SUM(BF203,BG203,BH203,BI203)</f>
        <v>259</v>
      </c>
      <c r="BK203" s="176">
        <f>BK78</f>
        <v>20</v>
      </c>
      <c r="BL203" s="176">
        <f>BL78</f>
        <v>20</v>
      </c>
      <c r="BM203" s="176">
        <f>BM78</f>
        <v>20</v>
      </c>
      <c r="BN203" s="176">
        <f>BN78</f>
        <v>20</v>
      </c>
      <c r="BO203" s="1019">
        <f>SUM(BK203,BL203,BM203,BN203)</f>
        <v>80</v>
      </c>
      <c r="BP203" s="1019">
        <f>BP78</f>
        <v>80</v>
      </c>
      <c r="BQ203" s="1019">
        <f>BQ78</f>
        <v>80</v>
      </c>
      <c r="BR203" s="1019">
        <f>BR78</f>
        <v>80</v>
      </c>
      <c r="BS203" s="229"/>
    </row>
    <row r="204" spans="1:71" s="224" customFormat="1" ht="15">
      <c r="A204" s="107" t="s">
        <v>60</v>
      </c>
      <c r="B204" s="365"/>
      <c r="C204" s="972">
        <f t="shared" si="486" ref="C204:AM204">+C171</f>
        <v>80</v>
      </c>
      <c r="D204" s="972">
        <f t="shared" si="486"/>
        <v>74</v>
      </c>
      <c r="E204" s="972">
        <f t="shared" si="486"/>
        <v>81</v>
      </c>
      <c r="F204" s="972">
        <f t="shared" si="486"/>
        <v>92</v>
      </c>
      <c r="G204" s="972">
        <f t="shared" si="486"/>
        <v>112</v>
      </c>
      <c r="H204" s="310">
        <f t="shared" si="486"/>
        <v>5</v>
      </c>
      <c r="I204" s="310">
        <f t="shared" si="486"/>
        <v>5</v>
      </c>
      <c r="J204" s="310">
        <f t="shared" si="486"/>
        <v>38</v>
      </c>
      <c r="K204" s="310">
        <f t="shared" si="486"/>
        <v>74</v>
      </c>
      <c r="L204" s="972">
        <f t="shared" si="486"/>
        <v>122</v>
      </c>
      <c r="M204" s="310">
        <f t="shared" si="486"/>
        <v>-1</v>
      </c>
      <c r="N204" s="310">
        <f t="shared" si="486"/>
        <v>19</v>
      </c>
      <c r="O204" s="310">
        <f t="shared" si="486"/>
        <v>-10</v>
      </c>
      <c r="P204" s="310">
        <f t="shared" si="486"/>
        <v>19</v>
      </c>
      <c r="Q204" s="972">
        <f t="shared" si="486"/>
        <v>27</v>
      </c>
      <c r="R204" s="310">
        <f t="shared" si="486"/>
        <v>18</v>
      </c>
      <c r="S204" s="310">
        <f t="shared" si="486"/>
        <v>-21</v>
      </c>
      <c r="T204" s="310">
        <f t="shared" si="486"/>
        <v>-2</v>
      </c>
      <c r="U204" s="310">
        <f t="shared" si="486"/>
        <v>184</v>
      </c>
      <c r="V204" s="972">
        <f t="shared" si="486"/>
        <v>179</v>
      </c>
      <c r="W204" s="310">
        <f t="shared" si="486"/>
        <v>17</v>
      </c>
      <c r="X204" s="310">
        <f t="shared" si="486"/>
        <v>17</v>
      </c>
      <c r="Y204" s="310">
        <f t="shared" si="486"/>
        <v>17</v>
      </c>
      <c r="Z204" s="310">
        <f t="shared" si="486"/>
        <v>16</v>
      </c>
      <c r="AA204" s="972">
        <f t="shared" si="486"/>
        <v>67</v>
      </c>
      <c r="AB204" s="310">
        <f t="shared" si="486"/>
        <v>16</v>
      </c>
      <c r="AC204" s="310">
        <f t="shared" si="486"/>
        <v>18</v>
      </c>
      <c r="AD204" s="310">
        <f t="shared" si="486"/>
        <v>15</v>
      </c>
      <c r="AE204" s="310">
        <f t="shared" si="486"/>
        <v>20</v>
      </c>
      <c r="AF204" s="972">
        <f t="shared" si="486"/>
        <v>69</v>
      </c>
      <c r="AG204" s="310">
        <f t="shared" si="486"/>
        <v>17</v>
      </c>
      <c r="AH204" s="310">
        <f t="shared" si="486"/>
        <v>18</v>
      </c>
      <c r="AI204" s="310">
        <f t="shared" si="486"/>
        <v>17</v>
      </c>
      <c r="AJ204" s="310">
        <f t="shared" si="486"/>
        <v>32</v>
      </c>
      <c r="AK204" s="972">
        <f t="shared" si="486"/>
        <v>84</v>
      </c>
      <c r="AL204" s="310">
        <f t="shared" si="486"/>
        <v>40</v>
      </c>
      <c r="AM204" s="310">
        <f t="shared" si="486"/>
        <v>43</v>
      </c>
      <c r="AN204" s="310">
        <f t="shared" si="487" ref="AN204:AQ204">+AN171</f>
        <v>38</v>
      </c>
      <c r="AO204" s="310">
        <f t="shared" si="487"/>
        <v>36</v>
      </c>
      <c r="AP204" s="972">
        <f t="shared" si="487"/>
        <v>157</v>
      </c>
      <c r="AQ204" s="310">
        <f t="shared" si="487"/>
        <v>44</v>
      </c>
      <c r="AR204" s="310">
        <f t="shared" si="481"/>
        <v>41</v>
      </c>
      <c r="AS204" s="310">
        <f t="shared" si="481"/>
        <v>45</v>
      </c>
      <c r="AT204" s="310">
        <f t="shared" si="481"/>
        <v>43</v>
      </c>
      <c r="AU204" s="972">
        <f t="shared" si="481"/>
        <v>173</v>
      </c>
      <c r="AV204" s="310">
        <f t="shared" si="482"/>
        <v>69</v>
      </c>
      <c r="AW204" s="310">
        <f t="shared" si="482"/>
        <v>50</v>
      </c>
      <c r="AX204" s="310">
        <f t="shared" si="482"/>
        <v>50</v>
      </c>
      <c r="AY204" s="310">
        <f t="shared" si="483"/>
        <v>51</v>
      </c>
      <c r="AZ204" s="972">
        <f t="shared" si="483"/>
        <v>220</v>
      </c>
      <c r="BA204" s="310">
        <f t="shared" si="483"/>
        <v>46</v>
      </c>
      <c r="BB204" s="310">
        <f t="shared" si="484"/>
        <v>45</v>
      </c>
      <c r="BC204" s="310">
        <f t="shared" si="484"/>
        <v>47</v>
      </c>
      <c r="BD204" s="310">
        <f t="shared" si="484"/>
        <v>39</v>
      </c>
      <c r="BE204" s="972">
        <f t="shared" si="484"/>
        <v>177</v>
      </c>
      <c r="BF204" s="310">
        <f t="shared" si="485"/>
        <v>29</v>
      </c>
      <c r="BG204" s="310">
        <f t="shared" si="485"/>
        <v>22</v>
      </c>
      <c r="BH204" s="739">
        <f t="shared" si="485"/>
        <v>23</v>
      </c>
      <c r="BI204" s="177">
        <f>BI83+BI113+BI141</f>
        <v>13</v>
      </c>
      <c r="BJ204" s="973">
        <f>SUM(BF204,BG204,BH204,BI204)</f>
        <v>87</v>
      </c>
      <c r="BK204" s="177">
        <f>BK83+BK113+BK141</f>
        <v>17</v>
      </c>
      <c r="BL204" s="177">
        <f>BL83+BL113+BL141</f>
        <v>17</v>
      </c>
      <c r="BM204" s="177">
        <f>BM83+BM113+BM141</f>
        <v>17</v>
      </c>
      <c r="BN204" s="177">
        <f>BN83+BN113+BN141</f>
        <v>17</v>
      </c>
      <c r="BO204" s="973">
        <f>SUM(BK204,BL204,BM204,BN204)</f>
        <v>68</v>
      </c>
      <c r="BP204" s="973">
        <f>BP83+BP113+BP141</f>
        <v>68</v>
      </c>
      <c r="BQ204" s="973">
        <f>BQ83+BQ113+BQ141</f>
        <v>68</v>
      </c>
      <c r="BR204" s="973">
        <f>BR83+BR113+BR141</f>
        <v>68</v>
      </c>
      <c r="BS204" s="229"/>
    </row>
    <row r="205" spans="1:71" s="44" customFormat="1" ht="15">
      <c r="A205" s="109" t="s">
        <v>61</v>
      </c>
      <c r="B205" s="367"/>
      <c r="C205" s="983">
        <f t="shared" si="488" ref="C205:AN205">C201+C202+C203+C204</f>
        <v>18254</v>
      </c>
      <c r="D205" s="983">
        <f t="shared" si="488"/>
        <v>20732</v>
      </c>
      <c r="E205" s="983">
        <f t="shared" si="488"/>
        <v>22171</v>
      </c>
      <c r="F205" s="983">
        <f t="shared" si="488"/>
        <v>25364</v>
      </c>
      <c r="G205" s="983">
        <f t="shared" si="488"/>
        <v>23939</v>
      </c>
      <c r="H205" s="111">
        <f t="shared" si="488"/>
        <v>5640</v>
      </c>
      <c r="I205" s="111">
        <f t="shared" si="488"/>
        <v>5838</v>
      </c>
      <c r="J205" s="111">
        <f t="shared" si="488"/>
        <v>5736</v>
      </c>
      <c r="K205" s="111">
        <f t="shared" si="488"/>
        <v>5514</v>
      </c>
      <c r="L205" s="983">
        <f t="shared" si="488"/>
        <v>22728</v>
      </c>
      <c r="M205" s="111">
        <f t="shared" si="488"/>
        <v>5226</v>
      </c>
      <c r="N205" s="111">
        <f t="shared" si="488"/>
        <v>5287</v>
      </c>
      <c r="O205" s="111">
        <f t="shared" si="488"/>
        <v>5040</v>
      </c>
      <c r="P205" s="111">
        <f t="shared" si="488"/>
        <v>5319</v>
      </c>
      <c r="Q205" s="983">
        <f t="shared" si="488"/>
        <v>20872</v>
      </c>
      <c r="R205" s="111">
        <f t="shared" si="488"/>
        <v>5451</v>
      </c>
      <c r="S205" s="111">
        <f t="shared" si="488"/>
        <v>5437</v>
      </c>
      <c r="T205" s="111">
        <f t="shared" si="488"/>
        <v>5716</v>
      </c>
      <c r="U205" s="111">
        <f t="shared" si="488"/>
        <v>5955</v>
      </c>
      <c r="V205" s="983">
        <f t="shared" si="488"/>
        <v>22559</v>
      </c>
      <c r="W205" s="111">
        <f t="shared" si="488"/>
        <v>5309</v>
      </c>
      <c r="X205" s="111">
        <f t="shared" si="488"/>
        <v>5428</v>
      </c>
      <c r="Y205" s="111">
        <f t="shared" si="488"/>
        <v>5506</v>
      </c>
      <c r="Z205" s="111">
        <f t="shared" si="488"/>
        <v>5424</v>
      </c>
      <c r="AA205" s="983">
        <f t="shared" si="488"/>
        <v>21667</v>
      </c>
      <c r="AB205" s="111">
        <f t="shared" si="488"/>
        <v>5464</v>
      </c>
      <c r="AC205" s="111">
        <f t="shared" si="488"/>
        <v>5589</v>
      </c>
      <c r="AD205" s="111">
        <f t="shared" si="488"/>
        <v>5577</v>
      </c>
      <c r="AE205" s="111">
        <f t="shared" si="488"/>
        <v>5128</v>
      </c>
      <c r="AF205" s="983">
        <f t="shared" si="488"/>
        <v>21758</v>
      </c>
      <c r="AG205" s="111">
        <f t="shared" si="488"/>
        <v>5657</v>
      </c>
      <c r="AH205" s="111">
        <f t="shared" si="488"/>
        <v>5511</v>
      </c>
      <c r="AI205" s="111">
        <f t="shared" si="488"/>
        <v>5536</v>
      </c>
      <c r="AJ205" s="111">
        <f t="shared" si="488"/>
        <v>5603</v>
      </c>
      <c r="AK205" s="983">
        <f t="shared" si="488"/>
        <v>22307</v>
      </c>
      <c r="AL205" s="111">
        <f t="shared" si="488"/>
        <v>5162</v>
      </c>
      <c r="AM205" s="111">
        <f t="shared" si="488"/>
        <v>5407</v>
      </c>
      <c r="AN205" s="111">
        <f t="shared" si="488"/>
        <v>5665</v>
      </c>
      <c r="AO205" s="111">
        <f t="shared" si="489" ref="AO205:AQ205">AO201+AO202+AO203+AO204</f>
        <v>5913</v>
      </c>
      <c r="AP205" s="983">
        <f t="shared" si="489"/>
        <v>22147</v>
      </c>
      <c r="AQ205" s="111">
        <f t="shared" si="489"/>
        <v>5869</v>
      </c>
      <c r="AR205" s="111">
        <f t="shared" si="490" ref="AR205:AW205">AR201+AR202+AR203+AR204</f>
        <v>5564</v>
      </c>
      <c r="AS205" s="111">
        <f t="shared" si="490"/>
        <v>5237</v>
      </c>
      <c r="AT205" s="111">
        <f t="shared" si="490"/>
        <v>5436</v>
      </c>
      <c r="AU205" s="983">
        <f t="shared" si="490"/>
        <v>22106</v>
      </c>
      <c r="AV205" s="111">
        <f t="shared" si="490"/>
        <v>5173</v>
      </c>
      <c r="AW205" s="111">
        <f t="shared" si="490"/>
        <v>5315</v>
      </c>
      <c r="AX205" s="111">
        <f t="shared" si="491" ref="AX205:BJ205">AX201+AX202+AX203+AX204</f>
        <v>4704</v>
      </c>
      <c r="AY205" s="111">
        <f t="shared" si="491"/>
        <v>3948</v>
      </c>
      <c r="AZ205" s="983">
        <f t="shared" si="491"/>
        <v>19140</v>
      </c>
      <c r="BA205" s="111">
        <f t="shared" si="492" ref="BA205:BI205">BA201+BA202+BA203+BA204</f>
        <v>4800</v>
      </c>
      <c r="BB205" s="111">
        <f t="shared" si="492"/>
        <v>5172</v>
      </c>
      <c r="BC205" s="111">
        <f t="shared" si="492"/>
        <v>4950</v>
      </c>
      <c r="BD205" s="111">
        <f t="shared" si="492"/>
        <v>3779</v>
      </c>
      <c r="BE205" s="983">
        <f t="shared" si="492"/>
        <v>18701</v>
      </c>
      <c r="BF205" s="111">
        <f>BF201+BF202+BF203+BF204</f>
        <v>5436</v>
      </c>
      <c r="BG205" s="111">
        <f>BG201+BG202+BG203+BG204</f>
        <v>5138</v>
      </c>
      <c r="BH205" s="743">
        <f>BH201+BH202+BH203+BH204</f>
        <v>2949</v>
      </c>
      <c r="BI205" s="25">
        <f t="shared" si="492"/>
        <v>4963.0329174863391</v>
      </c>
      <c r="BJ205" s="982">
        <f t="shared" si="491"/>
        <v>18486.032917486336</v>
      </c>
      <c r="BK205" s="25">
        <f t="shared" si="493" ref="BK205:BR205">BK201+BK202+BK203+BK204</f>
        <v>4096.9159169863015</v>
      </c>
      <c r="BL205" s="25">
        <f t="shared" si="493"/>
        <v>4069.0490832876712</v>
      </c>
      <c r="BM205" s="25">
        <f t="shared" si="493"/>
        <v>4304.7057251506849</v>
      </c>
      <c r="BN205" s="25">
        <f t="shared" si="493"/>
        <v>4844.0393004986308</v>
      </c>
      <c r="BO205" s="982">
        <f t="shared" si="493"/>
        <v>17314.71002592329</v>
      </c>
      <c r="BP205" s="982">
        <f t="shared" si="493"/>
        <v>17467.541447728749</v>
      </c>
      <c r="BQ205" s="982">
        <f t="shared" si="493"/>
        <v>17636.949539309786</v>
      </c>
      <c r="BR205" s="982">
        <f t="shared" si="493"/>
        <v>17809.447363827498</v>
      </c>
      <c r="BS205" s="100"/>
    </row>
    <row r="206" spans="1:71" s="52" customFormat="1" ht="15">
      <c r="A206" s="162" t="str">
        <f>CONCATENATE("Consensus Estimates - ",IFERROR(LEFT(A205,FIND("(",A205)-1),A205))</f>
        <v>Consensus Estimates - Net Revenue</v>
      </c>
      <c r="B206" s="179"/>
      <c r="C206" s="1020"/>
      <c r="D206" s="1020"/>
      <c r="E206" s="1020"/>
      <c r="F206" s="1020"/>
      <c r="G206" s="1020"/>
      <c r="H206" s="164"/>
      <c r="I206" s="164"/>
      <c r="J206" s="164"/>
      <c r="K206" s="164"/>
      <c r="L206" s="1020"/>
      <c r="M206" s="164"/>
      <c r="N206" s="164"/>
      <c r="O206" s="164"/>
      <c r="P206" s="164"/>
      <c r="Q206" s="1020"/>
      <c r="R206" s="164"/>
      <c r="S206" s="165"/>
      <c r="T206" s="164"/>
      <c r="U206" s="164"/>
      <c r="V206" s="1020"/>
      <c r="W206" s="164"/>
      <c r="X206" s="165"/>
      <c r="Y206" s="164"/>
      <c r="Z206" s="164"/>
      <c r="AA206" s="1020"/>
      <c r="AB206" s="164"/>
      <c r="AC206" s="165"/>
      <c r="AD206" s="164"/>
      <c r="AE206" s="164"/>
      <c r="AF206" s="1020"/>
      <c r="AG206" s="164"/>
      <c r="AH206" s="165"/>
      <c r="AI206" s="164"/>
      <c r="AJ206" s="164"/>
      <c r="AK206" s="1020"/>
      <c r="AL206" s="164"/>
      <c r="AM206" s="165"/>
      <c r="AN206" s="164"/>
      <c r="AO206" s="164"/>
      <c r="AP206" s="1020"/>
      <c r="AQ206" s="164"/>
      <c r="AR206" s="165"/>
      <c r="AS206" s="164"/>
      <c r="AT206" s="164"/>
      <c r="AU206" s="1020"/>
      <c r="AV206" s="164"/>
      <c r="AW206" s="165"/>
      <c r="AX206" s="164"/>
      <c r="AY206" s="164"/>
      <c r="AZ206" s="1020"/>
      <c r="BA206" s="164"/>
      <c r="BB206" s="165"/>
      <c r="BC206" s="164"/>
      <c r="BD206" s="164"/>
      <c r="BE206" s="1020"/>
      <c r="BF206" s="164"/>
      <c r="BG206" s="165"/>
      <c r="BH206" s="760"/>
      <c r="BI206" s="786" t="str">
        <f ca="1" t="shared" si="494" ref="BI206:BO206">IFERROR(VLOOKUP($A206,tb_ConsensusEstimate,MATCH(BI$5,OFFSET(tb_ConsensusEstimate,0,0,1,COLUMNS(tb_ConsensusEstimate)),0),FALSE),"-")</f>
        <v>N/A</v>
      </c>
      <c r="BJ206" s="1021" t="str">
        <f t="shared" ca="1" si="494"/>
        <v>N/A</v>
      </c>
      <c r="BK206" s="786" t="str">
        <f t="shared" ca="1" si="494"/>
        <v>N/A</v>
      </c>
      <c r="BL206" s="786" t="str">
        <f t="shared" ca="1" si="494"/>
        <v>N/A</v>
      </c>
      <c r="BM206" s="786" t="str">
        <f t="shared" ca="1" si="494"/>
        <v>N/A</v>
      </c>
      <c r="BN206" s="786" t="str">
        <f t="shared" ca="1" si="494"/>
        <v>N/A</v>
      </c>
      <c r="BO206" s="1021" t="str">
        <f t="shared" ca="1" si="494"/>
        <v>N/A</v>
      </c>
      <c r="BP206" s="1021" t="str">
        <f ca="1">IFERROR(VLOOKUP($A206,tb_ConsensusEstimate,MATCH(BP5,OFFSET(tb_ConsensusEstimate,0,0,1,COLUMNS(tb_ConsensusEstimate)),0),FALSE),"-")</f>
        <v>N/A</v>
      </c>
      <c r="BQ206" s="1021" t="str">
        <f ca="1">IFERROR(VLOOKUP($A206,tb_ConsensusEstimate,MATCH(BQ5,OFFSET(tb_ConsensusEstimate,0,0,1,COLUMNS(tb_ConsensusEstimate)),0),FALSE),"-")</f>
        <v>N/A</v>
      </c>
      <c r="BR206" s="1021" t="str">
        <f ca="1">IFERROR(VLOOKUP($A206,tb_ConsensusEstimate,MATCH(BR5,OFFSET(tb_ConsensusEstimate,0,0,1,COLUMNS(tb_ConsensusEstimate)),0),FALSE),"-")</f>
        <v>N/A</v>
      </c>
      <c r="BS206" s="164"/>
    </row>
    <row r="207" spans="1:71" s="44" customFormat="1" ht="15">
      <c r="A207" s="368"/>
      <c r="B207" s="369"/>
      <c r="C207" s="978"/>
      <c r="D207" s="978"/>
      <c r="E207" s="978"/>
      <c r="F207" s="978"/>
      <c r="G207" s="978"/>
      <c r="H207" s="185"/>
      <c r="I207" s="185"/>
      <c r="J207" s="185"/>
      <c r="K207" s="185"/>
      <c r="L207" s="978"/>
      <c r="M207" s="185"/>
      <c r="N207" s="185"/>
      <c r="O207" s="185"/>
      <c r="P207" s="185"/>
      <c r="Q207" s="978"/>
      <c r="R207" s="185"/>
      <c r="S207" s="185"/>
      <c r="T207" s="185"/>
      <c r="U207" s="185"/>
      <c r="V207" s="978"/>
      <c r="W207" s="185"/>
      <c r="X207" s="185"/>
      <c r="Y207" s="185"/>
      <c r="Z207" s="185"/>
      <c r="AA207" s="978"/>
      <c r="AB207" s="185"/>
      <c r="AC207" s="185"/>
      <c r="AD207" s="185"/>
      <c r="AE207" s="185"/>
      <c r="AF207" s="978"/>
      <c r="AG207" s="185"/>
      <c r="AH207" s="185"/>
      <c r="AI207" s="185"/>
      <c r="AJ207" s="185"/>
      <c r="AK207" s="978"/>
      <c r="AL207" s="185"/>
      <c r="AM207" s="185"/>
      <c r="AN207" s="185"/>
      <c r="AO207" s="185"/>
      <c r="AP207" s="978"/>
      <c r="AQ207" s="185"/>
      <c r="AR207" s="185"/>
      <c r="AS207" s="185"/>
      <c r="AT207" s="185"/>
      <c r="AU207" s="978"/>
      <c r="AV207" s="185"/>
      <c r="AW207" s="185"/>
      <c r="AX207" s="185"/>
      <c r="AY207" s="185"/>
      <c r="AZ207" s="978"/>
      <c r="BA207" s="185"/>
      <c r="BB207" s="185"/>
      <c r="BC207" s="185"/>
      <c r="BD207" s="185"/>
      <c r="BE207" s="978"/>
      <c r="BF207" s="185"/>
      <c r="BG207" s="185"/>
      <c r="BH207" s="552"/>
      <c r="BI207" s="185"/>
      <c r="BJ207" s="978"/>
      <c r="BK207" s="185"/>
      <c r="BL207" s="185"/>
      <c r="BM207" s="185"/>
      <c r="BN207" s="185"/>
      <c r="BO207" s="978"/>
      <c r="BP207" s="978"/>
      <c r="BQ207" s="978"/>
      <c r="BR207" s="978"/>
      <c r="BS207" s="100"/>
    </row>
    <row r="208" spans="1:71" s="224" customFormat="1" ht="15">
      <c r="A208" s="228" t="s">
        <v>62</v>
      </c>
      <c r="B208" s="363"/>
      <c r="C208" s="970">
        <f t="shared" si="495" ref="C208:AM208">+C173+C174+C175+C176+C178</f>
        <v>15947</v>
      </c>
      <c r="D208" s="970">
        <f t="shared" si="495"/>
        <v>16998</v>
      </c>
      <c r="E208" s="970">
        <f t="shared" si="495"/>
        <v>19025</v>
      </c>
      <c r="F208" s="970">
        <f t="shared" si="495"/>
        <v>20801</v>
      </c>
      <c r="G208" s="970">
        <f t="shared" si="495"/>
        <v>18830</v>
      </c>
      <c r="H208" s="229">
        <f t="shared" si="495"/>
        <v>4456</v>
      </c>
      <c r="I208" s="229">
        <f t="shared" si="495"/>
        <v>4519</v>
      </c>
      <c r="J208" s="229">
        <f t="shared" si="495"/>
        <v>4585</v>
      </c>
      <c r="K208" s="229">
        <f t="shared" si="495"/>
        <v>4360</v>
      </c>
      <c r="L208" s="970">
        <f t="shared" si="495"/>
        <v>17920</v>
      </c>
      <c r="M208" s="229">
        <f t="shared" si="495"/>
        <v>4130</v>
      </c>
      <c r="N208" s="229">
        <f t="shared" si="495"/>
        <v>4339</v>
      </c>
      <c r="O208" s="229">
        <f t="shared" si="495"/>
        <v>4109</v>
      </c>
      <c r="P208" s="229">
        <f t="shared" si="495"/>
        <v>4143</v>
      </c>
      <c r="Q208" s="970">
        <f t="shared" si="495"/>
        <v>16721</v>
      </c>
      <c r="R208" s="229">
        <f t="shared" si="495"/>
        <v>4269</v>
      </c>
      <c r="S208" s="229">
        <f t="shared" si="495"/>
        <v>4537</v>
      </c>
      <c r="T208" s="229">
        <f t="shared" si="495"/>
        <v>4688</v>
      </c>
      <c r="U208" s="229">
        <f t="shared" si="495"/>
        <v>4730</v>
      </c>
      <c r="V208" s="970">
        <f t="shared" si="495"/>
        <v>18224</v>
      </c>
      <c r="W208" s="229">
        <f t="shared" si="495"/>
        <v>4349</v>
      </c>
      <c r="X208" s="229">
        <f t="shared" si="495"/>
        <v>4322</v>
      </c>
      <c r="Y208" s="229">
        <f t="shared" si="495"/>
        <v>4372</v>
      </c>
      <c r="Z208" s="229">
        <f t="shared" si="495"/>
        <v>4366</v>
      </c>
      <c r="AA208" s="970">
        <f t="shared" si="495"/>
        <v>17409</v>
      </c>
      <c r="AB208" s="229">
        <f t="shared" si="495"/>
        <v>4426</v>
      </c>
      <c r="AC208" s="229">
        <f t="shared" si="495"/>
        <v>4404</v>
      </c>
      <c r="AD208" s="229">
        <f t="shared" si="495"/>
        <v>4378</v>
      </c>
      <c r="AE208" s="229">
        <f t="shared" si="495"/>
        <v>4345</v>
      </c>
      <c r="AF208" s="970">
        <f t="shared" si="495"/>
        <v>17553</v>
      </c>
      <c r="AG208" s="229">
        <f t="shared" si="495"/>
        <v>4357</v>
      </c>
      <c r="AH208" s="229">
        <f t="shared" si="495"/>
        <v>4345</v>
      </c>
      <c r="AI208" s="229">
        <f t="shared" si="495"/>
        <v>4443</v>
      </c>
      <c r="AJ208" s="229">
        <f t="shared" si="495"/>
        <v>4489</v>
      </c>
      <c r="AK208" s="970">
        <f t="shared" si="495"/>
        <v>17634</v>
      </c>
      <c r="AL208" s="229">
        <f t="shared" si="495"/>
        <v>4387</v>
      </c>
      <c r="AM208" s="229">
        <f t="shared" si="495"/>
        <v>4274</v>
      </c>
      <c r="AN208" s="229">
        <f t="shared" si="496" ref="AN208:AR208">+AN173+AN174+AN175+AN176+AN178</f>
        <v>4449</v>
      </c>
      <c r="AO208" s="229">
        <f t="shared" si="496"/>
        <v>4636</v>
      </c>
      <c r="AP208" s="970">
        <f t="shared" si="496"/>
        <v>17746</v>
      </c>
      <c r="AQ208" s="229">
        <f t="shared" si="496"/>
        <v>4204</v>
      </c>
      <c r="AR208" s="229">
        <f t="shared" si="496"/>
        <v>4129</v>
      </c>
      <c r="AS208" s="229">
        <f t="shared" si="497" ref="AS208:AX208">+AS173+AS174+AS175+AS176+AS178</f>
        <v>4067</v>
      </c>
      <c r="AT208" s="229">
        <f t="shared" si="497"/>
        <v>4146</v>
      </c>
      <c r="AU208" s="970">
        <f t="shared" si="497"/>
        <v>16546</v>
      </c>
      <c r="AV208" s="229">
        <f t="shared" si="497"/>
        <v>3823</v>
      </c>
      <c r="AW208" s="229">
        <f t="shared" si="497"/>
        <v>3552</v>
      </c>
      <c r="AX208" s="229">
        <f t="shared" si="497"/>
        <v>3316</v>
      </c>
      <c r="AY208" s="229">
        <f t="shared" si="498" ref="AY208:BC208">+AY173+AY174+AY175+AY176+AY178</f>
        <v>3354</v>
      </c>
      <c r="AZ208" s="970">
        <f t="shared" si="498"/>
        <v>14045</v>
      </c>
      <c r="BA208" s="229">
        <f t="shared" si="498"/>
        <v>3410</v>
      </c>
      <c r="BB208" s="229">
        <f t="shared" si="498"/>
        <v>3296</v>
      </c>
      <c r="BC208" s="229">
        <f t="shared" si="498"/>
        <v>3096</v>
      </c>
      <c r="BD208" s="229">
        <f t="shared" si="499" ref="BD208:BE208">+BD173+BD174+BD175+BD176+BD178</f>
        <v>3442</v>
      </c>
      <c r="BE208" s="970">
        <f t="shared" si="499"/>
        <v>13244</v>
      </c>
      <c r="BF208" s="229">
        <f>+BF173+BF174+BF175+BF176+BF178</f>
        <v>3219</v>
      </c>
      <c r="BG208" s="229">
        <f>+BG173+BG174+BG175+BG176+BG178</f>
        <v>3069</v>
      </c>
      <c r="BH208" s="738">
        <f>+BH173+BH174+BH175+BH176+BH178</f>
        <v>2807</v>
      </c>
      <c r="BI208" s="176">
        <f>+BI24+BI29+BI34+BI40</f>
        <v>4043.8864514316938</v>
      </c>
      <c r="BJ208" s="971">
        <f>SUM(BF208,BG208,BH208,BI208)</f>
        <v>13138.886451431694</v>
      </c>
      <c r="BK208" s="176">
        <f>+BK24+BK29+BK34+BK40</f>
        <v>3053.4959039301375</v>
      </c>
      <c r="BL208" s="176">
        <f>+BL24+BL29+BL34+BL40</f>
        <v>2979.6468285150686</v>
      </c>
      <c r="BM208" s="176">
        <f>+BM24+BM29+BM34+BM40</f>
        <v>3280.2758631605484</v>
      </c>
      <c r="BN208" s="176">
        <f>+BN24+BN29+BN34+BN40</f>
        <v>3680.1148355373698</v>
      </c>
      <c r="BO208" s="971">
        <f>SUM(BK208,BL208,BM208,BN208)</f>
        <v>12993.533431143125</v>
      </c>
      <c r="BP208" s="971">
        <f>+BP24+BP29+BP34+BP40</f>
        <v>13191.499575143702</v>
      </c>
      <c r="BQ208" s="971">
        <f>+BQ24+BQ29+BQ34+BQ40</f>
        <v>13523.473439396123</v>
      </c>
      <c r="BR208" s="971">
        <f>+BR24+BR29+BR34+BR40</f>
        <v>13657.139087165533</v>
      </c>
      <c r="BS208" s="229"/>
    </row>
    <row r="209" spans="1:71" s="224" customFormat="1" ht="15">
      <c r="A209" s="228" t="s">
        <v>63</v>
      </c>
      <c r="B209" s="363"/>
      <c r="C209" s="970">
        <f t="shared" si="500" ref="C209:AM209">+C177</f>
        <v>72</v>
      </c>
      <c r="D209" s="970">
        <f t="shared" si="500"/>
        <v>149</v>
      </c>
      <c r="E209" s="970">
        <f t="shared" si="500"/>
        <v>196</v>
      </c>
      <c r="F209" s="970">
        <f t="shared" si="500"/>
        <v>261</v>
      </c>
      <c r="G209" s="970">
        <f t="shared" si="500"/>
        <v>293</v>
      </c>
      <c r="H209" s="229">
        <f t="shared" si="500"/>
        <v>80</v>
      </c>
      <c r="I209" s="229">
        <f t="shared" si="500"/>
        <v>81</v>
      </c>
      <c r="J209" s="229">
        <f t="shared" si="500"/>
        <v>77</v>
      </c>
      <c r="K209" s="229">
        <f t="shared" si="500"/>
        <v>79</v>
      </c>
      <c r="L209" s="970">
        <f t="shared" si="500"/>
        <v>317</v>
      </c>
      <c r="M209" s="229">
        <f t="shared" si="500"/>
        <v>83</v>
      </c>
      <c r="N209" s="229">
        <f t="shared" si="500"/>
        <v>74</v>
      </c>
      <c r="O209" s="229">
        <f t="shared" si="500"/>
        <v>67</v>
      </c>
      <c r="P209" s="229">
        <f t="shared" si="500"/>
        <v>65</v>
      </c>
      <c r="Q209" s="970">
        <f t="shared" si="500"/>
        <v>289</v>
      </c>
      <c r="R209" s="229">
        <f t="shared" si="500"/>
        <v>65</v>
      </c>
      <c r="S209" s="229">
        <f t="shared" si="500"/>
        <v>66</v>
      </c>
      <c r="T209" s="229">
        <f t="shared" si="500"/>
        <v>65</v>
      </c>
      <c r="U209" s="229">
        <f t="shared" si="500"/>
        <v>72</v>
      </c>
      <c r="V209" s="970">
        <f t="shared" si="500"/>
        <v>268</v>
      </c>
      <c r="W209" s="229">
        <f t="shared" si="500"/>
        <v>62</v>
      </c>
      <c r="X209" s="229">
        <f t="shared" si="500"/>
        <v>61</v>
      </c>
      <c r="Y209" s="229">
        <f t="shared" si="500"/>
        <v>59</v>
      </c>
      <c r="Z209" s="229">
        <f t="shared" si="500"/>
        <v>58</v>
      </c>
      <c r="AA209" s="970">
        <f t="shared" si="500"/>
        <v>240</v>
      </c>
      <c r="AB209" s="229">
        <f t="shared" si="500"/>
        <v>56</v>
      </c>
      <c r="AC209" s="229">
        <f t="shared" si="500"/>
        <v>54</v>
      </c>
      <c r="AD209" s="229">
        <f t="shared" si="500"/>
        <v>53</v>
      </c>
      <c r="AE209" s="229">
        <f t="shared" si="500"/>
        <v>59</v>
      </c>
      <c r="AF209" s="970">
        <f t="shared" si="500"/>
        <v>222</v>
      </c>
      <c r="AG209" s="229">
        <f t="shared" si="500"/>
        <v>58</v>
      </c>
      <c r="AH209" s="229">
        <f t="shared" si="500"/>
        <v>57</v>
      </c>
      <c r="AI209" s="229">
        <f t="shared" si="500"/>
        <v>57</v>
      </c>
      <c r="AJ209" s="229">
        <f t="shared" si="500"/>
        <v>56</v>
      </c>
      <c r="AK209" s="970">
        <f t="shared" si="500"/>
        <v>228</v>
      </c>
      <c r="AL209" s="229">
        <f t="shared" si="500"/>
        <v>55</v>
      </c>
      <c r="AM209" s="229">
        <f t="shared" si="500"/>
        <v>63</v>
      </c>
      <c r="AN209" s="229">
        <f t="shared" si="501" ref="AN209:AR209">+AN177</f>
        <v>63</v>
      </c>
      <c r="AO209" s="229">
        <f t="shared" si="501"/>
        <v>61</v>
      </c>
      <c r="AP209" s="970">
        <f t="shared" si="501"/>
        <v>242</v>
      </c>
      <c r="AQ209" s="229">
        <f t="shared" si="501"/>
        <v>62</v>
      </c>
      <c r="AR209" s="229">
        <f t="shared" si="501"/>
        <v>62</v>
      </c>
      <c r="AS209" s="229">
        <f t="shared" si="502" ref="AS209:AX209">+AS177</f>
        <v>57</v>
      </c>
      <c r="AT209" s="229">
        <f t="shared" si="502"/>
        <v>57</v>
      </c>
      <c r="AU209" s="970">
        <f t="shared" si="502"/>
        <v>238</v>
      </c>
      <c r="AV209" s="229">
        <f t="shared" si="502"/>
        <v>56</v>
      </c>
      <c r="AW209" s="229">
        <f t="shared" si="502"/>
        <v>55</v>
      </c>
      <c r="AX209" s="229">
        <f t="shared" si="502"/>
        <v>59</v>
      </c>
      <c r="AY209" s="229">
        <f t="shared" si="503" ref="AY209:BC209">+AY177</f>
        <v>56</v>
      </c>
      <c r="AZ209" s="970">
        <f t="shared" si="503"/>
        <v>226</v>
      </c>
      <c r="BA209" s="229">
        <f t="shared" si="503"/>
        <v>48</v>
      </c>
      <c r="BB209" s="229">
        <f t="shared" si="503"/>
        <v>51</v>
      </c>
      <c r="BC209" s="229">
        <f t="shared" si="503"/>
        <v>49</v>
      </c>
      <c r="BD209" s="229">
        <f t="shared" si="504" ref="BD209:BE209">+BD177</f>
        <v>47</v>
      </c>
      <c r="BE209" s="970">
        <f t="shared" si="504"/>
        <v>195</v>
      </c>
      <c r="BF209" s="229">
        <f>+BF177</f>
        <v>47</v>
      </c>
      <c r="BG209" s="229">
        <f>+BG177</f>
        <v>50</v>
      </c>
      <c r="BH209" s="738">
        <f>+BH177</f>
        <v>50</v>
      </c>
      <c r="BI209" s="176">
        <f>BI294</f>
        <v>64.172765027322399</v>
      </c>
      <c r="BJ209" s="971">
        <f>SUM(BF209,BG209,BH209,BI209)</f>
        <v>211.17276502732238</v>
      </c>
      <c r="BK209" s="176">
        <f>BK294</f>
        <v>62.949698630136986</v>
      </c>
      <c r="BL209" s="176">
        <f>BL294</f>
        <v>63.649139726027393</v>
      </c>
      <c r="BM209" s="176">
        <f>BM294</f>
        <v>64.348580821917807</v>
      </c>
      <c r="BN209" s="176">
        <f>BN294</f>
        <v>64.348580821917807</v>
      </c>
      <c r="BO209" s="971">
        <f>SUM(BK209,BL209,BM209,BN209)</f>
        <v>255.29599999999999</v>
      </c>
      <c r="BP209" s="971">
        <f>BP294</f>
        <v>255.29599999999999</v>
      </c>
      <c r="BQ209" s="971">
        <f>BQ294</f>
        <v>255.29599999999999</v>
      </c>
      <c r="BR209" s="971">
        <f>BR294</f>
        <v>255.29599999999999</v>
      </c>
      <c r="BS209" s="229"/>
    </row>
    <row r="210" spans="1:71" s="224" customFormat="1" ht="15">
      <c r="A210" s="228" t="s">
        <v>64</v>
      </c>
      <c r="B210" s="363"/>
      <c r="C210" s="971"/>
      <c r="D210" s="971"/>
      <c r="E210" s="971"/>
      <c r="F210" s="971"/>
      <c r="G210" s="971"/>
      <c r="H210" s="176"/>
      <c r="I210" s="176"/>
      <c r="J210" s="176"/>
      <c r="K210" s="176"/>
      <c r="L210" s="971"/>
      <c r="M210" s="176"/>
      <c r="N210" s="176"/>
      <c r="O210" s="176"/>
      <c r="P210" s="176"/>
      <c r="Q210" s="971"/>
      <c r="R210" s="176"/>
      <c r="S210" s="176"/>
      <c r="T210" s="176"/>
      <c r="U210" s="176"/>
      <c r="V210" s="971"/>
      <c r="W210" s="176"/>
      <c r="X210" s="176"/>
      <c r="Y210" s="176"/>
      <c r="Z210" s="176"/>
      <c r="AA210" s="971"/>
      <c r="AB210" s="176"/>
      <c r="AC210" s="176"/>
      <c r="AD210" s="176"/>
      <c r="AE210" s="176"/>
      <c r="AF210" s="971"/>
      <c r="AG210" s="176"/>
      <c r="AH210" s="176"/>
      <c r="AI210" s="176"/>
      <c r="AJ210" s="176"/>
      <c r="AK210" s="971"/>
      <c r="AL210" s="176"/>
      <c r="AM210" s="176"/>
      <c r="AN210" s="176"/>
      <c r="AO210" s="176"/>
      <c r="AP210" s="971"/>
      <c r="AQ210" s="176"/>
      <c r="AR210" s="176"/>
      <c r="AS210" s="176"/>
      <c r="AT210" s="176"/>
      <c r="AU210" s="971"/>
      <c r="AV210" s="176"/>
      <c r="AW210" s="176"/>
      <c r="AX210" s="176"/>
      <c r="AY210" s="176"/>
      <c r="AZ210" s="971"/>
      <c r="BA210" s="176"/>
      <c r="BB210" s="176"/>
      <c r="BC210" s="176"/>
      <c r="BD210" s="176"/>
      <c r="BE210" s="971"/>
      <c r="BF210" s="176"/>
      <c r="BG210" s="176"/>
      <c r="BH210" s="551"/>
      <c r="BI210" s="176"/>
      <c r="BJ210" s="971">
        <f>SUM(BF210,BG210,BH210,BI210)</f>
        <v>0</v>
      </c>
      <c r="BK210" s="176"/>
      <c r="BL210" s="176"/>
      <c r="BM210" s="176"/>
      <c r="BN210" s="176"/>
      <c r="BO210" s="971">
        <f>SUM(BK210,BL210,BM210,BN210)</f>
        <v>0</v>
      </c>
      <c r="BP210" s="971"/>
      <c r="BQ210" s="971"/>
      <c r="BR210" s="971"/>
      <c r="BS210" s="229"/>
    </row>
    <row r="211" spans="1:71" s="224" customFormat="1" ht="15">
      <c r="A211" s="107" t="s">
        <v>65</v>
      </c>
      <c r="B211" s="365"/>
      <c r="C211" s="973"/>
      <c r="D211" s="973"/>
      <c r="E211" s="973"/>
      <c r="F211" s="973"/>
      <c r="G211" s="973"/>
      <c r="H211" s="177"/>
      <c r="I211" s="177"/>
      <c r="J211" s="177"/>
      <c r="K211" s="177"/>
      <c r="L211" s="973"/>
      <c r="M211" s="177"/>
      <c r="N211" s="177"/>
      <c r="O211" s="177"/>
      <c r="P211" s="177"/>
      <c r="Q211" s="973"/>
      <c r="R211" s="177"/>
      <c r="S211" s="177"/>
      <c r="T211" s="177"/>
      <c r="U211" s="177"/>
      <c r="V211" s="973"/>
      <c r="W211" s="177"/>
      <c r="X211" s="177"/>
      <c r="Y211" s="177"/>
      <c r="Z211" s="177"/>
      <c r="AA211" s="973"/>
      <c r="AB211" s="177"/>
      <c r="AC211" s="177"/>
      <c r="AD211" s="177"/>
      <c r="AE211" s="177"/>
      <c r="AF211" s="973"/>
      <c r="AG211" s="177"/>
      <c r="AH211" s="177"/>
      <c r="AI211" s="177"/>
      <c r="AJ211" s="177"/>
      <c r="AK211" s="973"/>
      <c r="AL211" s="177"/>
      <c r="AM211" s="177"/>
      <c r="AN211" s="177"/>
      <c r="AO211" s="177"/>
      <c r="AP211" s="973"/>
      <c r="AQ211" s="177"/>
      <c r="AR211" s="177"/>
      <c r="AS211" s="177"/>
      <c r="AT211" s="177"/>
      <c r="AU211" s="973"/>
      <c r="AV211" s="177"/>
      <c r="AW211" s="177"/>
      <c r="AX211" s="177"/>
      <c r="AY211" s="177"/>
      <c r="AZ211" s="973"/>
      <c r="BA211" s="177"/>
      <c r="BB211" s="177"/>
      <c r="BC211" s="177"/>
      <c r="BD211" s="177"/>
      <c r="BE211" s="973"/>
      <c r="BF211" s="177"/>
      <c r="BG211" s="177"/>
      <c r="BH211" s="638"/>
      <c r="BI211" s="177"/>
      <c r="BJ211" s="973">
        <f>SUM(BF211,BG211,BH211,BI211)</f>
        <v>0</v>
      </c>
      <c r="BK211" s="177"/>
      <c r="BL211" s="177"/>
      <c r="BM211" s="177"/>
      <c r="BN211" s="177"/>
      <c r="BO211" s="973">
        <f>SUM(BK211,BL211,BM211,BN211)</f>
        <v>0</v>
      </c>
      <c r="BP211" s="973"/>
      <c r="BQ211" s="973"/>
      <c r="BR211" s="973"/>
      <c r="BS211" s="229"/>
    </row>
    <row r="212" spans="1:71" s="44" customFormat="1" ht="15">
      <c r="A212" s="109" t="s">
        <v>66</v>
      </c>
      <c r="B212" s="367"/>
      <c r="C212" s="983">
        <f t="shared" si="505" ref="C212:AN212">+C205-SUM(C208:C211)</f>
        <v>2235</v>
      </c>
      <c r="D212" s="983">
        <f t="shared" si="505"/>
        <v>3585</v>
      </c>
      <c r="E212" s="983">
        <f t="shared" si="505"/>
        <v>2950</v>
      </c>
      <c r="F212" s="983">
        <f t="shared" si="505"/>
        <v>4302</v>
      </c>
      <c r="G212" s="983">
        <f t="shared" si="505"/>
        <v>4816</v>
      </c>
      <c r="H212" s="111">
        <f t="shared" si="505"/>
        <v>1104</v>
      </c>
      <c r="I212" s="111">
        <f t="shared" si="505"/>
        <v>1238</v>
      </c>
      <c r="J212" s="111">
        <f t="shared" si="505"/>
        <v>1074</v>
      </c>
      <c r="K212" s="111">
        <f t="shared" si="505"/>
        <v>1075</v>
      </c>
      <c r="L212" s="983">
        <f t="shared" si="505"/>
        <v>4491</v>
      </c>
      <c r="M212" s="111">
        <f t="shared" si="505"/>
        <v>1013</v>
      </c>
      <c r="N212" s="111">
        <f t="shared" si="505"/>
        <v>874</v>
      </c>
      <c r="O212" s="111">
        <f t="shared" si="505"/>
        <v>864</v>
      </c>
      <c r="P212" s="111">
        <f t="shared" si="505"/>
        <v>1111</v>
      </c>
      <c r="Q212" s="983">
        <f t="shared" si="505"/>
        <v>3862</v>
      </c>
      <c r="R212" s="111">
        <f t="shared" si="505"/>
        <v>1117</v>
      </c>
      <c r="S212" s="111">
        <f t="shared" si="505"/>
        <v>834</v>
      </c>
      <c r="T212" s="111">
        <f t="shared" si="505"/>
        <v>963</v>
      </c>
      <c r="U212" s="111">
        <f t="shared" si="505"/>
        <v>1153</v>
      </c>
      <c r="V212" s="983">
        <f t="shared" si="505"/>
        <v>4067</v>
      </c>
      <c r="W212" s="111">
        <f t="shared" si="505"/>
        <v>898</v>
      </c>
      <c r="X212" s="111">
        <f t="shared" si="505"/>
        <v>1045</v>
      </c>
      <c r="Y212" s="111">
        <f t="shared" si="505"/>
        <v>1075</v>
      </c>
      <c r="Z212" s="111">
        <f t="shared" si="505"/>
        <v>1000</v>
      </c>
      <c r="AA212" s="983">
        <f t="shared" si="505"/>
        <v>4018</v>
      </c>
      <c r="AB212" s="111">
        <f t="shared" si="505"/>
        <v>982</v>
      </c>
      <c r="AC212" s="111">
        <f t="shared" si="505"/>
        <v>1131</v>
      </c>
      <c r="AD212" s="111">
        <f t="shared" si="505"/>
        <v>1146</v>
      </c>
      <c r="AE212" s="111">
        <f t="shared" si="505"/>
        <v>724</v>
      </c>
      <c r="AF212" s="983">
        <f t="shared" si="505"/>
        <v>3983</v>
      </c>
      <c r="AG212" s="111">
        <f t="shared" si="505"/>
        <v>1242</v>
      </c>
      <c r="AH212" s="111">
        <f t="shared" si="505"/>
        <v>1109</v>
      </c>
      <c r="AI212" s="111">
        <f t="shared" si="505"/>
        <v>1036</v>
      </c>
      <c r="AJ212" s="111">
        <f t="shared" si="505"/>
        <v>1058</v>
      </c>
      <c r="AK212" s="983">
        <f t="shared" si="505"/>
        <v>4445</v>
      </c>
      <c r="AL212" s="111">
        <f t="shared" si="505"/>
        <v>720</v>
      </c>
      <c r="AM212" s="111">
        <f t="shared" si="505"/>
        <v>1070</v>
      </c>
      <c r="AN212" s="111">
        <f t="shared" si="505"/>
        <v>1153</v>
      </c>
      <c r="AO212" s="111">
        <f t="shared" si="506" ref="AO212:AP212">+AO205-SUM(AO208:AO211)</f>
        <v>1216</v>
      </c>
      <c r="AP212" s="983">
        <f t="shared" si="506"/>
        <v>4159</v>
      </c>
      <c r="AQ212" s="111">
        <f t="shared" si="507" ref="AQ212">+AQ205-SUM(AQ208:AQ211)</f>
        <v>1603</v>
      </c>
      <c r="AR212" s="111">
        <f t="shared" si="508" ref="AR212">+AR205-SUM(AR208:AR211)</f>
        <v>1373</v>
      </c>
      <c r="AS212" s="111">
        <f t="shared" si="509" ref="AS212:AW212">+AS205-SUM(AS208:AS211)</f>
        <v>1113</v>
      </c>
      <c r="AT212" s="111">
        <f t="shared" si="509"/>
        <v>1233</v>
      </c>
      <c r="AU212" s="983">
        <f t="shared" si="509"/>
        <v>5322</v>
      </c>
      <c r="AV212" s="111">
        <f t="shared" si="509"/>
        <v>1294</v>
      </c>
      <c r="AW212" s="111">
        <f t="shared" si="509"/>
        <v>1708</v>
      </c>
      <c r="AX212" s="111">
        <f t="shared" si="510" ref="AX212:BJ212">+AX205-SUM(AX208:AX211)</f>
        <v>1329</v>
      </c>
      <c r="AY212" s="111">
        <f t="shared" si="510"/>
        <v>538</v>
      </c>
      <c r="AZ212" s="983">
        <f t="shared" si="510"/>
        <v>4869</v>
      </c>
      <c r="BA212" s="111">
        <f t="shared" si="511" ref="BA212:BI212">+BA205-SUM(BA208:BA211)</f>
        <v>1342</v>
      </c>
      <c r="BB212" s="111">
        <f t="shared" si="511"/>
        <v>1825</v>
      </c>
      <c r="BC212" s="111">
        <f t="shared" si="511"/>
        <v>1805</v>
      </c>
      <c r="BD212" s="111">
        <f t="shared" si="511"/>
        <v>290</v>
      </c>
      <c r="BE212" s="983">
        <f t="shared" si="511"/>
        <v>5262</v>
      </c>
      <c r="BF212" s="111">
        <f>+BF205-SUM(BF208:BF211)</f>
        <v>2170</v>
      </c>
      <c r="BG212" s="111">
        <f>+BG205-SUM(BG208:BG211)</f>
        <v>2019</v>
      </c>
      <c r="BH212" s="743">
        <f>+BH205-SUM(BH208:BH211)</f>
        <v>92</v>
      </c>
      <c r="BI212" s="25">
        <f t="shared" si="511"/>
        <v>854.97370102732293</v>
      </c>
      <c r="BJ212" s="982">
        <f t="shared" si="510"/>
        <v>5135.9737010273202</v>
      </c>
      <c r="BK212" s="25">
        <f t="shared" si="512" ref="BK212:BR212">+BK205-SUM(BK208:BK211)</f>
        <v>980.47031442602702</v>
      </c>
      <c r="BL212" s="25">
        <f t="shared" si="512"/>
        <v>1025.7531150465752</v>
      </c>
      <c r="BM212" s="25">
        <f t="shared" si="512"/>
        <v>960.08128116821854</v>
      </c>
      <c r="BN212" s="25">
        <f t="shared" si="512"/>
        <v>1099.5758841393431</v>
      </c>
      <c r="BO212" s="982">
        <f t="shared" si="512"/>
        <v>4065.8805947801648</v>
      </c>
      <c r="BP212" s="982">
        <f t="shared" si="512"/>
        <v>4020.7458725850465</v>
      </c>
      <c r="BQ212" s="982">
        <f t="shared" si="512"/>
        <v>3858.1800999136631</v>
      </c>
      <c r="BR212" s="982">
        <f t="shared" si="512"/>
        <v>3897.0122766619643</v>
      </c>
      <c r="BS212" s="100"/>
    </row>
    <row r="213" spans="1:71" s="52" customFormat="1" ht="15">
      <c r="A213" s="162" t="str">
        <f>CONCATENATE("Consensus Estimates - ",IFERROR(LEFT(A212,FIND("(",A212)-1),A212))</f>
        <v>Consensus Estimates - EBT</v>
      </c>
      <c r="B213" s="179"/>
      <c r="C213" s="1020"/>
      <c r="D213" s="1020"/>
      <c r="E213" s="1020"/>
      <c r="F213" s="1020"/>
      <c r="G213" s="1020"/>
      <c r="H213" s="164"/>
      <c r="I213" s="164"/>
      <c r="J213" s="164"/>
      <c r="K213" s="164"/>
      <c r="L213" s="1020"/>
      <c r="M213" s="164"/>
      <c r="N213" s="164"/>
      <c r="O213" s="164"/>
      <c r="P213" s="164"/>
      <c r="Q213" s="1020"/>
      <c r="R213" s="164"/>
      <c r="S213" s="164"/>
      <c r="T213" s="164"/>
      <c r="U213" s="164"/>
      <c r="V213" s="1020"/>
      <c r="W213" s="164"/>
      <c r="X213" s="164"/>
      <c r="Y213" s="164"/>
      <c r="Z213" s="164"/>
      <c r="AA213" s="1020"/>
      <c r="AB213" s="164"/>
      <c r="AC213" s="164"/>
      <c r="AD213" s="164"/>
      <c r="AE213" s="164"/>
      <c r="AF213" s="1020"/>
      <c r="AG213" s="164"/>
      <c r="AH213" s="164"/>
      <c r="AI213" s="164"/>
      <c r="AJ213" s="164"/>
      <c r="AK213" s="1020"/>
      <c r="AL213" s="164"/>
      <c r="AM213" s="164"/>
      <c r="AN213" s="164"/>
      <c r="AO213" s="164"/>
      <c r="AP213" s="1020"/>
      <c r="AQ213" s="164"/>
      <c r="AR213" s="164"/>
      <c r="AS213" s="164"/>
      <c r="AT213" s="164"/>
      <c r="AU213" s="1020"/>
      <c r="AV213" s="164"/>
      <c r="AW213" s="164"/>
      <c r="AX213" s="164"/>
      <c r="AY213" s="164"/>
      <c r="AZ213" s="1020"/>
      <c r="BA213" s="164"/>
      <c r="BB213" s="164"/>
      <c r="BC213" s="164"/>
      <c r="BD213" s="164"/>
      <c r="BE213" s="1020"/>
      <c r="BF213" s="164"/>
      <c r="BG213" s="164"/>
      <c r="BH213" s="760"/>
      <c r="BI213" s="786" t="str">
        <f ca="1" t="shared" si="513" ref="BI213:BO213">IFERROR(VLOOKUP($A213,tb_ConsensusEstimate,MATCH(BI$5,OFFSET(tb_ConsensusEstimate,0,0,1,COLUMNS(tb_ConsensusEstimate)),0),FALSE),"-")</f>
        <v>N/A</v>
      </c>
      <c r="BJ213" s="1021" t="str">
        <f t="shared" ca="1" si="513"/>
        <v>N/A</v>
      </c>
      <c r="BK213" s="786" t="str">
        <f t="shared" ca="1" si="513"/>
        <v>N/A</v>
      </c>
      <c r="BL213" s="786" t="str">
        <f t="shared" ca="1" si="513"/>
        <v>N/A</v>
      </c>
      <c r="BM213" s="786" t="str">
        <f t="shared" ca="1" si="513"/>
        <v>N/A</v>
      </c>
      <c r="BN213" s="786" t="str">
        <f t="shared" ca="1" si="513"/>
        <v>N/A</v>
      </c>
      <c r="BO213" s="1021" t="str">
        <f t="shared" ca="1" si="513"/>
        <v>N/A</v>
      </c>
      <c r="BP213" s="1021" t="str">
        <f ca="1">IFERROR(VLOOKUP($A213,tb_ConsensusEstimate,MATCH(BP5,OFFSET(tb_ConsensusEstimate,0,0,1,COLUMNS(tb_ConsensusEstimate)),0),FALSE),"-")</f>
        <v>N/A</v>
      </c>
      <c r="BQ213" s="1021" t="str">
        <f ca="1">IFERROR(VLOOKUP($A213,tb_ConsensusEstimate,MATCH(BQ5,OFFSET(tb_ConsensusEstimate,0,0,1,COLUMNS(tb_ConsensusEstimate)),0),FALSE),"-")</f>
        <v>N/A</v>
      </c>
      <c r="BR213" s="1021" t="str">
        <f ca="1">IFERROR(VLOOKUP($A213,tb_ConsensusEstimate,MATCH(BR5,OFFSET(tb_ConsensusEstimate,0,0,1,COLUMNS(tb_ConsensusEstimate)),0),FALSE),"-")</f>
        <v>N/A</v>
      </c>
      <c r="BS213" s="164"/>
    </row>
    <row r="214" spans="1:71" s="45" customFormat="1" ht="15">
      <c r="A214" s="503"/>
      <c r="B214" s="179"/>
      <c r="C214" s="1020"/>
      <c r="D214" s="1020"/>
      <c r="E214" s="1020"/>
      <c r="F214" s="1020"/>
      <c r="G214" s="1020"/>
      <c r="H214" s="164"/>
      <c r="I214" s="164"/>
      <c r="J214" s="164"/>
      <c r="K214" s="164"/>
      <c r="L214" s="1020"/>
      <c r="M214" s="164"/>
      <c r="N214" s="164"/>
      <c r="O214" s="164"/>
      <c r="P214" s="164"/>
      <c r="Q214" s="1020"/>
      <c r="R214" s="164"/>
      <c r="S214" s="164"/>
      <c r="T214" s="164"/>
      <c r="U214" s="164"/>
      <c r="V214" s="1020"/>
      <c r="W214" s="164"/>
      <c r="X214" s="164"/>
      <c r="Y214" s="164"/>
      <c r="Z214" s="164"/>
      <c r="AA214" s="1020"/>
      <c r="AB214" s="164"/>
      <c r="AC214" s="164"/>
      <c r="AD214" s="164"/>
      <c r="AE214" s="164"/>
      <c r="AF214" s="1020"/>
      <c r="AG214" s="164"/>
      <c r="AH214" s="164"/>
      <c r="AI214" s="164"/>
      <c r="AJ214" s="164"/>
      <c r="AK214" s="1020"/>
      <c r="AL214" s="164"/>
      <c r="AM214" s="164"/>
      <c r="AN214" s="164"/>
      <c r="AO214" s="164"/>
      <c r="AP214" s="1020"/>
      <c r="AQ214" s="164"/>
      <c r="AR214" s="164"/>
      <c r="AS214" s="164"/>
      <c r="AT214" s="164"/>
      <c r="AU214" s="1020"/>
      <c r="AV214" s="164"/>
      <c r="AW214" s="164"/>
      <c r="AX214" s="164"/>
      <c r="AY214" s="164"/>
      <c r="AZ214" s="1020"/>
      <c r="BA214" s="164"/>
      <c r="BB214" s="164"/>
      <c r="BC214" s="164"/>
      <c r="BD214" s="164"/>
      <c r="BE214" s="1020"/>
      <c r="BF214" s="164"/>
      <c r="BG214" s="164"/>
      <c r="BH214" s="760"/>
      <c r="BI214" s="164"/>
      <c r="BJ214" s="1020"/>
      <c r="BK214" s="164"/>
      <c r="BL214" s="164"/>
      <c r="BM214" s="164"/>
      <c r="BN214" s="164"/>
      <c r="BO214" s="1020"/>
      <c r="BP214" s="1020"/>
      <c r="BQ214" s="1020"/>
      <c r="BR214" s="1020"/>
      <c r="BS214" s="112"/>
    </row>
    <row r="215" spans="1:71" s="224" customFormat="1" ht="15">
      <c r="A215" s="228" t="s">
        <v>67</v>
      </c>
      <c r="B215" s="363"/>
      <c r="C215" s="970">
        <f t="shared" si="514" ref="C215:AN215">+C182-C216</f>
        <v>830</v>
      </c>
      <c r="D215" s="970">
        <f t="shared" si="514"/>
        <v>862</v>
      </c>
      <c r="E215" s="970">
        <f t="shared" si="514"/>
        <v>891</v>
      </c>
      <c r="F215" s="970">
        <f t="shared" si="514"/>
        <v>816</v>
      </c>
      <c r="G215" s="970">
        <f t="shared" si="514"/>
        <v>1236</v>
      </c>
      <c r="H215" s="229">
        <f t="shared" si="514"/>
        <v>372</v>
      </c>
      <c r="I215" s="229">
        <f t="shared" si="514"/>
        <v>428</v>
      </c>
      <c r="J215" s="229">
        <f t="shared" si="514"/>
        <v>368</v>
      </c>
      <c r="K215" s="229">
        <f t="shared" si="514"/>
        <v>372</v>
      </c>
      <c r="L215" s="970">
        <f t="shared" si="514"/>
        <v>1079</v>
      </c>
      <c r="M215" s="229">
        <f t="shared" si="514"/>
        <v>350</v>
      </c>
      <c r="N215" s="229">
        <f t="shared" si="514"/>
        <v>301</v>
      </c>
      <c r="O215" s="229">
        <f t="shared" si="514"/>
        <v>297</v>
      </c>
      <c r="P215" s="229">
        <f t="shared" si="514"/>
        <v>381</v>
      </c>
      <c r="Q215" s="970">
        <f t="shared" si="514"/>
        <v>1288</v>
      </c>
      <c r="R215" s="229">
        <f t="shared" si="514"/>
        <v>386</v>
      </c>
      <c r="S215" s="229">
        <f t="shared" si="514"/>
        <v>286</v>
      </c>
      <c r="T215" s="229">
        <f t="shared" si="514"/>
        <v>334</v>
      </c>
      <c r="U215" s="229">
        <f t="shared" si="514"/>
        <v>402</v>
      </c>
      <c r="V215" s="970">
        <f t="shared" si="514"/>
        <v>884</v>
      </c>
      <c r="W215" s="229">
        <f t="shared" si="514"/>
        <v>306</v>
      </c>
      <c r="X215" s="229">
        <f t="shared" si="514"/>
        <v>332</v>
      </c>
      <c r="Y215" s="229">
        <f t="shared" si="514"/>
        <v>359</v>
      </c>
      <c r="Z215" s="229">
        <f t="shared" si="514"/>
        <v>-1583</v>
      </c>
      <c r="AA215" s="970">
        <f t="shared" si="514"/>
        <v>631</v>
      </c>
      <c r="AB215" s="229">
        <f t="shared" si="514"/>
        <v>265</v>
      </c>
      <c r="AC215" s="229">
        <f t="shared" si="514"/>
        <v>299</v>
      </c>
      <c r="AD215" s="229">
        <f t="shared" si="514"/>
        <v>301</v>
      </c>
      <c r="AE215" s="229">
        <f t="shared" si="514"/>
        <v>198</v>
      </c>
      <c r="AF215" s="970">
        <f t="shared" si="514"/>
        <v>1379</v>
      </c>
      <c r="AG215" s="229">
        <f t="shared" si="514"/>
        <v>314</v>
      </c>
      <c r="AH215" s="229">
        <f t="shared" si="514"/>
        <v>292</v>
      </c>
      <c r="AI215" s="229">
        <f t="shared" si="514"/>
        <v>259</v>
      </c>
      <c r="AJ215" s="229">
        <f t="shared" si="514"/>
        <v>276</v>
      </c>
      <c r="AK215" s="970">
        <f t="shared" si="514"/>
        <v>806</v>
      </c>
      <c r="AL215" s="229">
        <f t="shared" si="514"/>
        <v>154</v>
      </c>
      <c r="AM215" s="229">
        <f t="shared" si="514"/>
        <v>265</v>
      </c>
      <c r="AN215" s="229">
        <f t="shared" si="514"/>
        <v>-1303</v>
      </c>
      <c r="AO215" s="229">
        <f t="shared" si="515" ref="AO215:AR215">+AO182-AO216</f>
        <v>265</v>
      </c>
      <c r="AP215" s="970">
        <f t="shared" si="515"/>
        <v>794</v>
      </c>
      <c r="AQ215" s="229">
        <f t="shared" si="515"/>
        <v>310</v>
      </c>
      <c r="AR215" s="229">
        <f t="shared" si="515"/>
        <v>268</v>
      </c>
      <c r="AS215" s="229">
        <f t="shared" si="516" ref="AS215:AX215">+AS182-AS216</f>
        <v>225</v>
      </c>
      <c r="AT215" s="229">
        <f t="shared" si="516"/>
        <v>194</v>
      </c>
      <c r="AU215" s="970">
        <f t="shared" si="516"/>
        <v>1095</v>
      </c>
      <c r="AV215" s="229">
        <f t="shared" si="516"/>
        <v>247</v>
      </c>
      <c r="AW215" s="229">
        <f t="shared" si="516"/>
        <v>314</v>
      </c>
      <c r="AX215" s="229">
        <f t="shared" si="516"/>
        <v>-452</v>
      </c>
      <c r="AY215" s="229">
        <f t="shared" si="517" ref="AY215:AZ215">+AY182-AY216</f>
        <v>342</v>
      </c>
      <c r="AZ215" s="970">
        <f t="shared" si="517"/>
        <v>1181</v>
      </c>
      <c r="BA215" s="229">
        <f>+BA182-BA216</f>
        <v>154</v>
      </c>
      <c r="BB215" s="229">
        <f>+BB182-BB216</f>
        <v>191</v>
      </c>
      <c r="BC215" s="229">
        <f>+BC182-BC216</f>
        <v>236</v>
      </c>
      <c r="BD215" s="229">
        <f t="shared" si="518" ref="BD215:BE215">+BD182-BD216</f>
        <v>22</v>
      </c>
      <c r="BE215" s="970">
        <f t="shared" si="518"/>
        <v>1663</v>
      </c>
      <c r="BF215" s="229">
        <f>+BF182-BF216</f>
        <v>291</v>
      </c>
      <c r="BG215" s="229">
        <f>+BG182-BG216</f>
        <v>264</v>
      </c>
      <c r="BH215" s="738">
        <f>+BH182-BH216</f>
        <v>185</v>
      </c>
      <c r="BI215" s="176">
        <f>BI212*BI229</f>
        <v>8.5497370102732297</v>
      </c>
      <c r="BJ215" s="971">
        <f>SUM(BF215,BG215,BH215,BI215)</f>
        <v>748.54973701027325</v>
      </c>
      <c r="BK215" s="176">
        <f>BK212*BK229</f>
        <v>9.8047031442602712</v>
      </c>
      <c r="BL215" s="176">
        <f>BL212*BL229</f>
        <v>51.28765575232876</v>
      </c>
      <c r="BM215" s="176">
        <f>BM212*BM229</f>
        <v>9.6008128116821858</v>
      </c>
      <c r="BN215" s="176">
        <f>BN212*BN229</f>
        <v>54.978794206967159</v>
      </c>
      <c r="BO215" s="971">
        <f>SUM(BK215,BL215,BM215,BN215)</f>
        <v>125.67196591523839</v>
      </c>
      <c r="BP215" s="971">
        <f>BP212*BP229</f>
        <v>40.207458725850465</v>
      </c>
      <c r="BQ215" s="971">
        <f>BQ212*BQ229</f>
        <v>38.581800999136632</v>
      </c>
      <c r="BR215" s="971">
        <f>BR212*BR229</f>
        <v>779.40245533239283</v>
      </c>
      <c r="BS215" s="229"/>
    </row>
    <row r="216" spans="1:71" s="224" customFormat="1" ht="15">
      <c r="A216" s="364" t="s">
        <v>68</v>
      </c>
      <c r="B216" s="365"/>
      <c r="C216" s="973">
        <f t="shared" si="519" ref="C216:AP216">+C188</f>
        <v>-92</v>
      </c>
      <c r="D216" s="973">
        <f t="shared" si="519"/>
        <v>379</v>
      </c>
      <c r="E216" s="973">
        <f t="shared" si="519"/>
        <v>122</v>
      </c>
      <c r="F216" s="973">
        <f t="shared" si="519"/>
        <v>620</v>
      </c>
      <c r="G216" s="973">
        <f t="shared" si="519"/>
        <v>422</v>
      </c>
      <c r="H216" s="177">
        <f t="shared" si="519"/>
        <v>0</v>
      </c>
      <c r="I216" s="177">
        <f t="shared" si="519"/>
        <v>0</v>
      </c>
      <c r="J216" s="177">
        <f t="shared" si="519"/>
        <v>0</v>
      </c>
      <c r="K216" s="177">
        <f t="shared" si="519"/>
        <v>0</v>
      </c>
      <c r="L216" s="973">
        <f t="shared" si="519"/>
        <v>461</v>
      </c>
      <c r="M216" s="177">
        <f t="shared" si="519"/>
        <v>0</v>
      </c>
      <c r="N216" s="177">
        <f t="shared" si="519"/>
        <v>0</v>
      </c>
      <c r="O216" s="177">
        <f t="shared" si="519"/>
        <v>0</v>
      </c>
      <c r="P216" s="177">
        <f t="shared" si="519"/>
        <v>0</v>
      </c>
      <c r="Q216" s="973">
        <f t="shared" si="519"/>
        <v>41</v>
      </c>
      <c r="R216" s="177">
        <f t="shared" si="519"/>
        <v>0</v>
      </c>
      <c r="S216" s="177">
        <f t="shared" si="519"/>
        <v>0</v>
      </c>
      <c r="T216" s="177">
        <f t="shared" si="519"/>
        <v>0</v>
      </c>
      <c r="U216" s="177">
        <f t="shared" si="519"/>
        <v>0</v>
      </c>
      <c r="V216" s="973">
        <f t="shared" si="519"/>
        <v>524</v>
      </c>
      <c r="W216" s="177">
        <f t="shared" si="519"/>
        <v>0</v>
      </c>
      <c r="X216" s="177">
        <f t="shared" si="519"/>
        <v>0</v>
      </c>
      <c r="Y216" s="177">
        <f t="shared" si="519"/>
        <v>0</v>
      </c>
      <c r="Z216" s="177">
        <f t="shared" si="519"/>
        <v>0</v>
      </c>
      <c r="AA216" s="973">
        <f t="shared" si="519"/>
        <v>-1217</v>
      </c>
      <c r="AB216" s="177">
        <f t="shared" si="519"/>
        <v>0</v>
      </c>
      <c r="AC216" s="177">
        <f t="shared" si="519"/>
        <v>0</v>
      </c>
      <c r="AD216" s="177">
        <f t="shared" si="519"/>
        <v>0</v>
      </c>
      <c r="AE216" s="177">
        <f t="shared" si="519"/>
        <v>0</v>
      </c>
      <c r="AF216" s="973">
        <f t="shared" si="519"/>
        <v>-316</v>
      </c>
      <c r="AG216" s="177">
        <f t="shared" si="519"/>
        <v>0</v>
      </c>
      <c r="AH216" s="177">
        <f t="shared" si="519"/>
        <v>0</v>
      </c>
      <c r="AI216" s="177">
        <f t="shared" si="519"/>
        <v>0</v>
      </c>
      <c r="AJ216" s="177">
        <f t="shared" si="519"/>
        <v>0</v>
      </c>
      <c r="AK216" s="973">
        <f t="shared" si="519"/>
        <v>335</v>
      </c>
      <c r="AL216" s="177">
        <f t="shared" si="519"/>
        <v>0</v>
      </c>
      <c r="AM216" s="177">
        <f t="shared" si="519"/>
        <v>0</v>
      </c>
      <c r="AN216" s="177">
        <f t="shared" si="519"/>
        <v>0</v>
      </c>
      <c r="AO216" s="177">
        <f t="shared" si="519"/>
        <v>0</v>
      </c>
      <c r="AP216" s="973">
        <f t="shared" si="519"/>
        <v>-1413</v>
      </c>
      <c r="AQ216" s="177">
        <f t="shared" si="520" ref="AQ216:AV216">+AQ188</f>
        <v>0</v>
      </c>
      <c r="AR216" s="310">
        <f t="shared" si="520"/>
        <v>0</v>
      </c>
      <c r="AS216" s="177">
        <f t="shared" si="520"/>
        <v>0</v>
      </c>
      <c r="AT216" s="177">
        <f t="shared" si="520"/>
        <v>0</v>
      </c>
      <c r="AU216" s="973">
        <f>+AU188</f>
        <v>-98</v>
      </c>
      <c r="AV216" s="177">
        <f t="shared" si="520"/>
        <v>0</v>
      </c>
      <c r="AW216" s="177">
        <f t="shared" si="521" ref="AW216:AX216">+AW188</f>
        <v>0</v>
      </c>
      <c r="AX216" s="177">
        <f t="shared" si="521"/>
        <v>0</v>
      </c>
      <c r="AY216" s="177">
        <f t="shared" si="522" ref="AY216:BB216">+AY188</f>
        <v>0</v>
      </c>
      <c r="AZ216" s="973">
        <f t="shared" si="522"/>
        <v>-730</v>
      </c>
      <c r="BA216" s="177">
        <f t="shared" si="522"/>
        <v>0</v>
      </c>
      <c r="BB216" s="177">
        <f t="shared" si="522"/>
        <v>0</v>
      </c>
      <c r="BC216" s="177">
        <f>+BC188</f>
        <v>0</v>
      </c>
      <c r="BD216" s="310">
        <f t="shared" si="523" ref="BD216:BG216">+BD188</f>
        <v>0</v>
      </c>
      <c r="BE216" s="972">
        <f t="shared" si="523"/>
        <v>-1060</v>
      </c>
      <c r="BF216" s="177">
        <f t="shared" si="523"/>
        <v>0</v>
      </c>
      <c r="BG216" s="177">
        <f t="shared" si="523"/>
        <v>0</v>
      </c>
      <c r="BH216" s="638">
        <f>+BH188</f>
        <v>0</v>
      </c>
      <c r="BI216" s="177">
        <f>BI212*BI230</f>
        <v>0</v>
      </c>
      <c r="BJ216" s="973">
        <f>SUM(BF216,BG216,BH216,BI216)</f>
        <v>0</v>
      </c>
      <c r="BK216" s="177">
        <f>BK212*BK230</f>
        <v>0</v>
      </c>
      <c r="BL216" s="177">
        <f>BL212*BL230</f>
        <v>0</v>
      </c>
      <c r="BM216" s="177">
        <f>BM212*BM230</f>
        <v>0</v>
      </c>
      <c r="BN216" s="177">
        <f>BN212*BN230</f>
        <v>0</v>
      </c>
      <c r="BO216" s="973">
        <f>SUM(BK216,BL216,BM216,BN216)</f>
        <v>0</v>
      </c>
      <c r="BP216" s="973">
        <f>BP212*BP230</f>
        <v>-201.03729362925233</v>
      </c>
      <c r="BQ216" s="973">
        <f>BQ212*BQ230</f>
        <v>-308.65440799309306</v>
      </c>
      <c r="BR216" s="973">
        <f>BR212*BR230</f>
        <v>0</v>
      </c>
      <c r="BS216" s="229"/>
    </row>
    <row r="217" spans="1:71" s="44" customFormat="1" ht="15">
      <c r="A217" s="109" t="s">
        <v>69</v>
      </c>
      <c r="B217" s="367"/>
      <c r="C217" s="983">
        <f t="shared" si="524" ref="C217:AN217">C212-SUM(C215:C216)</f>
        <v>1497</v>
      </c>
      <c r="D217" s="983">
        <f t="shared" si="524"/>
        <v>2344</v>
      </c>
      <c r="E217" s="983">
        <f t="shared" si="524"/>
        <v>1937</v>
      </c>
      <c r="F217" s="983">
        <f t="shared" si="524"/>
        <v>2866</v>
      </c>
      <c r="G217" s="983">
        <f t="shared" si="524"/>
        <v>3158</v>
      </c>
      <c r="H217" s="111">
        <f t="shared" si="524"/>
        <v>732</v>
      </c>
      <c r="I217" s="111">
        <f t="shared" si="524"/>
        <v>810</v>
      </c>
      <c r="J217" s="111">
        <f t="shared" si="524"/>
        <v>706</v>
      </c>
      <c r="K217" s="111">
        <f t="shared" si="524"/>
        <v>703</v>
      </c>
      <c r="L217" s="983">
        <f t="shared" si="524"/>
        <v>2951</v>
      </c>
      <c r="M217" s="111">
        <f t="shared" si="524"/>
        <v>663</v>
      </c>
      <c r="N217" s="111">
        <f t="shared" si="524"/>
        <v>573</v>
      </c>
      <c r="O217" s="111">
        <f t="shared" si="524"/>
        <v>567</v>
      </c>
      <c r="P217" s="111">
        <f t="shared" si="524"/>
        <v>730</v>
      </c>
      <c r="Q217" s="983">
        <f t="shared" si="524"/>
        <v>2533</v>
      </c>
      <c r="R217" s="111">
        <f t="shared" si="524"/>
        <v>731</v>
      </c>
      <c r="S217" s="111">
        <f t="shared" si="524"/>
        <v>548</v>
      </c>
      <c r="T217" s="111">
        <f t="shared" si="524"/>
        <v>629</v>
      </c>
      <c r="U217" s="111">
        <f t="shared" si="524"/>
        <v>751</v>
      </c>
      <c r="V217" s="983">
        <f t="shared" si="524"/>
        <v>2659</v>
      </c>
      <c r="W217" s="111">
        <f t="shared" si="524"/>
        <v>592</v>
      </c>
      <c r="X217" s="111">
        <f t="shared" si="524"/>
        <v>713</v>
      </c>
      <c r="Y217" s="111">
        <f t="shared" si="524"/>
        <v>716</v>
      </c>
      <c r="Z217" s="111">
        <f t="shared" si="524"/>
        <v>2583</v>
      </c>
      <c r="AA217" s="983">
        <f t="shared" si="524"/>
        <v>4604</v>
      </c>
      <c r="AB217" s="111">
        <f t="shared" si="524"/>
        <v>717</v>
      </c>
      <c r="AC217" s="111">
        <f t="shared" si="524"/>
        <v>832</v>
      </c>
      <c r="AD217" s="111">
        <f t="shared" si="524"/>
        <v>845</v>
      </c>
      <c r="AE217" s="111">
        <f t="shared" si="524"/>
        <v>526</v>
      </c>
      <c r="AF217" s="983">
        <f t="shared" si="524"/>
        <v>2920</v>
      </c>
      <c r="AG217" s="111">
        <f t="shared" si="524"/>
        <v>928</v>
      </c>
      <c r="AH217" s="111">
        <f t="shared" si="524"/>
        <v>817</v>
      </c>
      <c r="AI217" s="111">
        <f t="shared" si="524"/>
        <v>777</v>
      </c>
      <c r="AJ217" s="111">
        <f t="shared" si="524"/>
        <v>782</v>
      </c>
      <c r="AK217" s="983">
        <f t="shared" si="524"/>
        <v>3304</v>
      </c>
      <c r="AL217" s="111">
        <f t="shared" si="524"/>
        <v>566</v>
      </c>
      <c r="AM217" s="111">
        <f t="shared" si="524"/>
        <v>805</v>
      </c>
      <c r="AN217" s="111">
        <f t="shared" si="524"/>
        <v>2456</v>
      </c>
      <c r="AO217" s="111">
        <f t="shared" si="525" ref="AO217:AP217">AO212-SUM(AO215:AO216)</f>
        <v>951</v>
      </c>
      <c r="AP217" s="983">
        <f t="shared" si="525"/>
        <v>4778</v>
      </c>
      <c r="AQ217" s="111">
        <f t="shared" si="526" ref="AQ217">AQ212-SUM(AQ215:AQ216)</f>
        <v>1293</v>
      </c>
      <c r="AR217" s="111">
        <f t="shared" si="527" ref="AR217">AR212-SUM(AR215:AR216)</f>
        <v>1105</v>
      </c>
      <c r="AS217" s="111">
        <f t="shared" si="528" ref="AS217:AW217">AS212-SUM(AS215:AS216)</f>
        <v>888</v>
      </c>
      <c r="AT217" s="111">
        <f t="shared" si="528"/>
        <v>1039</v>
      </c>
      <c r="AU217" s="983">
        <f t="shared" si="528"/>
        <v>4325</v>
      </c>
      <c r="AV217" s="111">
        <f t="shared" si="528"/>
        <v>1047</v>
      </c>
      <c r="AW217" s="111">
        <f t="shared" si="528"/>
        <v>1394</v>
      </c>
      <c r="AX217" s="111">
        <f t="shared" si="529" ref="AX217:BJ217">AX212-SUM(AX215:AX216)</f>
        <v>1781</v>
      </c>
      <c r="AY217" s="111">
        <f t="shared" si="529"/>
        <v>196</v>
      </c>
      <c r="AZ217" s="983">
        <f t="shared" si="529"/>
        <v>4418</v>
      </c>
      <c r="BA217" s="111">
        <f t="shared" si="530" ref="BA217:BI217">BA212-SUM(BA215:BA216)</f>
        <v>1188</v>
      </c>
      <c r="BB217" s="111">
        <f t="shared" si="530"/>
        <v>1634</v>
      </c>
      <c r="BC217" s="111">
        <f t="shared" si="530"/>
        <v>1569</v>
      </c>
      <c r="BD217" s="111">
        <f t="shared" si="530"/>
        <v>268</v>
      </c>
      <c r="BE217" s="983">
        <f t="shared" si="530"/>
        <v>4659</v>
      </c>
      <c r="BF217" s="111">
        <f>BF212-SUM(BF215:BF216)</f>
        <v>1879</v>
      </c>
      <c r="BG217" s="111">
        <f>BG212-SUM(BG215:BG216)</f>
        <v>1755</v>
      </c>
      <c r="BH217" s="743">
        <f>BH212-SUM(BH215:BH216)</f>
        <v>-93</v>
      </c>
      <c r="BI217" s="25">
        <f t="shared" si="530"/>
        <v>846.42396401704968</v>
      </c>
      <c r="BJ217" s="982">
        <f t="shared" si="529"/>
        <v>4387.4239640170472</v>
      </c>
      <c r="BK217" s="25">
        <f t="shared" si="531" ref="BK217:BR217">BK212-SUM(BK215:BK216)</f>
        <v>970.6656112817667</v>
      </c>
      <c r="BL217" s="25">
        <f t="shared" si="531"/>
        <v>974.46545929424644</v>
      </c>
      <c r="BM217" s="25">
        <f t="shared" si="531"/>
        <v>950.48046835653633</v>
      </c>
      <c r="BN217" s="25">
        <f t="shared" si="531"/>
        <v>1044.5970899323759</v>
      </c>
      <c r="BO217" s="982">
        <f t="shared" si="531"/>
        <v>3940.2086288649261</v>
      </c>
      <c r="BP217" s="982">
        <f t="shared" si="531"/>
        <v>4181.5757074884486</v>
      </c>
      <c r="BQ217" s="982">
        <f t="shared" si="531"/>
        <v>4128.2527069076195</v>
      </c>
      <c r="BR217" s="982">
        <f t="shared" si="531"/>
        <v>3117.6098213295713</v>
      </c>
      <c r="BS217" s="100"/>
    </row>
    <row r="218" spans="1:71" s="224" customFormat="1" ht="15">
      <c r="A218" s="228" t="s">
        <v>70</v>
      </c>
      <c r="B218" s="363"/>
      <c r="C218" s="971"/>
      <c r="D218" s="971"/>
      <c r="E218" s="971"/>
      <c r="F218" s="971"/>
      <c r="G218" s="971"/>
      <c r="H218" s="176"/>
      <c r="I218" s="176"/>
      <c r="J218" s="176"/>
      <c r="K218" s="176"/>
      <c r="L218" s="971"/>
      <c r="M218" s="176"/>
      <c r="N218" s="176"/>
      <c r="O218" s="176"/>
      <c r="P218" s="176"/>
      <c r="Q218" s="971"/>
      <c r="R218" s="176"/>
      <c r="S218" s="176"/>
      <c r="T218" s="176"/>
      <c r="U218" s="176"/>
      <c r="V218" s="971"/>
      <c r="W218" s="176"/>
      <c r="X218" s="176"/>
      <c r="Y218" s="176"/>
      <c r="Z218" s="176"/>
      <c r="AA218" s="971"/>
      <c r="AB218" s="176"/>
      <c r="AC218" s="176"/>
      <c r="AD218" s="176"/>
      <c r="AE218" s="176"/>
      <c r="AF218" s="971"/>
      <c r="AG218" s="176"/>
      <c r="AH218" s="176"/>
      <c r="AI218" s="176"/>
      <c r="AJ218" s="176"/>
      <c r="AK218" s="971"/>
      <c r="AL218" s="176"/>
      <c r="AM218" s="176"/>
      <c r="AN218" s="176"/>
      <c r="AO218" s="176"/>
      <c r="AP218" s="971"/>
      <c r="AQ218" s="176"/>
      <c r="AR218" s="176"/>
      <c r="AS218" s="176"/>
      <c r="AT218" s="176"/>
      <c r="AU218" s="971"/>
      <c r="AV218" s="176"/>
      <c r="AW218" s="176"/>
      <c r="AX218" s="176"/>
      <c r="AY218" s="176"/>
      <c r="AZ218" s="971"/>
      <c r="BA218" s="176"/>
      <c r="BB218" s="176"/>
      <c r="BC218" s="176"/>
      <c r="BD218" s="176"/>
      <c r="BE218" s="971"/>
      <c r="BF218" s="176"/>
      <c r="BG218" s="176"/>
      <c r="BH218" s="551"/>
      <c r="BI218" s="176"/>
      <c r="BJ218" s="971">
        <f>SUM(BF218,BG218,BH218,BI218)</f>
        <v>0</v>
      </c>
      <c r="BK218" s="176"/>
      <c r="BL218" s="176"/>
      <c r="BM218" s="176"/>
      <c r="BN218" s="176"/>
      <c r="BO218" s="971">
        <f>SUM(BK218,BL218,BM218,BN218)</f>
        <v>0</v>
      </c>
      <c r="BP218" s="971"/>
      <c r="BQ218" s="971"/>
      <c r="BR218" s="971"/>
      <c r="BS218" s="229"/>
    </row>
    <row r="219" spans="1:71" s="224" customFormat="1" ht="15">
      <c r="A219" s="228" t="s">
        <v>71</v>
      </c>
      <c r="B219" s="363"/>
      <c r="C219" s="971"/>
      <c r="D219" s="971"/>
      <c r="E219" s="971"/>
      <c r="F219" s="971"/>
      <c r="G219" s="971"/>
      <c r="H219" s="176"/>
      <c r="I219" s="176"/>
      <c r="J219" s="176"/>
      <c r="K219" s="176"/>
      <c r="L219" s="971"/>
      <c r="M219" s="176"/>
      <c r="N219" s="176"/>
      <c r="O219" s="176"/>
      <c r="P219" s="176"/>
      <c r="Q219" s="971"/>
      <c r="R219" s="176"/>
      <c r="S219" s="176"/>
      <c r="T219" s="176"/>
      <c r="U219" s="176"/>
      <c r="V219" s="971"/>
      <c r="W219" s="176"/>
      <c r="X219" s="176"/>
      <c r="Y219" s="176"/>
      <c r="Z219" s="176"/>
      <c r="AA219" s="971"/>
      <c r="AB219" s="176"/>
      <c r="AC219" s="176"/>
      <c r="AD219" s="176"/>
      <c r="AE219" s="176"/>
      <c r="AF219" s="971"/>
      <c r="AG219" s="176"/>
      <c r="AH219" s="176"/>
      <c r="AI219" s="176"/>
      <c r="AJ219" s="176"/>
      <c r="AK219" s="971"/>
      <c r="AL219" s="176"/>
      <c r="AM219" s="176"/>
      <c r="AN219" s="176"/>
      <c r="AO219" s="176"/>
      <c r="AP219" s="971"/>
      <c r="AQ219" s="176"/>
      <c r="AR219" s="176"/>
      <c r="AS219" s="176"/>
      <c r="AT219" s="176"/>
      <c r="AU219" s="971"/>
      <c r="AV219" s="176"/>
      <c r="AW219" s="176"/>
      <c r="AX219" s="176"/>
      <c r="AY219" s="176"/>
      <c r="AZ219" s="971"/>
      <c r="BA219" s="176"/>
      <c r="BB219" s="176"/>
      <c r="BC219" s="176"/>
      <c r="BD219" s="176"/>
      <c r="BE219" s="971"/>
      <c r="BF219" s="176"/>
      <c r="BG219" s="176"/>
      <c r="BH219" s="551"/>
      <c r="BI219" s="176"/>
      <c r="BJ219" s="971">
        <f>SUM(BF219,BG219,BH219,BI219)</f>
        <v>0</v>
      </c>
      <c r="BK219" s="176"/>
      <c r="BL219" s="176"/>
      <c r="BM219" s="176"/>
      <c r="BN219" s="176"/>
      <c r="BO219" s="971">
        <f>SUM(BK219,BL219,BM219,BN219)</f>
        <v>0</v>
      </c>
      <c r="BP219" s="971"/>
      <c r="BQ219" s="971"/>
      <c r="BR219" s="971"/>
      <c r="BS219" s="229"/>
    </row>
    <row r="220" spans="1:71" s="224" customFormat="1" ht="15">
      <c r="A220" s="228" t="s">
        <v>72</v>
      </c>
      <c r="B220" s="363"/>
      <c r="C220" s="971"/>
      <c r="D220" s="971"/>
      <c r="E220" s="971"/>
      <c r="F220" s="971"/>
      <c r="G220" s="971"/>
      <c r="H220" s="176"/>
      <c r="I220" s="176"/>
      <c r="J220" s="176"/>
      <c r="K220" s="176"/>
      <c r="L220" s="971"/>
      <c r="M220" s="176"/>
      <c r="N220" s="176"/>
      <c r="O220" s="176"/>
      <c r="P220" s="176"/>
      <c r="Q220" s="971"/>
      <c r="R220" s="176"/>
      <c r="S220" s="176"/>
      <c r="T220" s="176"/>
      <c r="U220" s="176"/>
      <c r="V220" s="971"/>
      <c r="W220" s="176"/>
      <c r="X220" s="176"/>
      <c r="Y220" s="176"/>
      <c r="Z220" s="176"/>
      <c r="AA220" s="971"/>
      <c r="AB220" s="176"/>
      <c r="AC220" s="176"/>
      <c r="AD220" s="176"/>
      <c r="AE220" s="176"/>
      <c r="AF220" s="971"/>
      <c r="AG220" s="176"/>
      <c r="AH220" s="176"/>
      <c r="AI220" s="176"/>
      <c r="AJ220" s="176"/>
      <c r="AK220" s="971"/>
      <c r="AL220" s="176"/>
      <c r="AM220" s="176"/>
      <c r="AN220" s="176"/>
      <c r="AO220" s="176"/>
      <c r="AP220" s="971"/>
      <c r="AQ220" s="176"/>
      <c r="AR220" s="176"/>
      <c r="AS220" s="176"/>
      <c r="AT220" s="176"/>
      <c r="AU220" s="971"/>
      <c r="AV220" s="176"/>
      <c r="AW220" s="176"/>
      <c r="AX220" s="176"/>
      <c r="AY220" s="176"/>
      <c r="AZ220" s="971"/>
      <c r="BA220" s="176"/>
      <c r="BB220" s="176"/>
      <c r="BC220" s="176"/>
      <c r="BD220" s="176"/>
      <c r="BE220" s="971"/>
      <c r="BF220" s="176"/>
      <c r="BG220" s="176"/>
      <c r="BH220" s="551"/>
      <c r="BI220" s="176"/>
      <c r="BJ220" s="971">
        <f>SUM(BF220,BG220,BH220,BI220)</f>
        <v>0</v>
      </c>
      <c r="BK220" s="176"/>
      <c r="BL220" s="176"/>
      <c r="BM220" s="176"/>
      <c r="BN220" s="176"/>
      <c r="BO220" s="971">
        <f>SUM(BK220,BL220,BM220,BN220)</f>
        <v>0</v>
      </c>
      <c r="BP220" s="971"/>
      <c r="BQ220" s="971"/>
      <c r="BR220" s="971"/>
      <c r="BS220" s="229"/>
    </row>
    <row r="221" spans="1:71" s="224" customFormat="1" ht="15">
      <c r="A221" s="107" t="s">
        <v>73</v>
      </c>
      <c r="B221" s="365"/>
      <c r="C221" s="973"/>
      <c r="D221" s="973"/>
      <c r="E221" s="973"/>
      <c r="F221" s="973"/>
      <c r="G221" s="973"/>
      <c r="H221" s="177"/>
      <c r="I221" s="177"/>
      <c r="J221" s="177"/>
      <c r="K221" s="177"/>
      <c r="L221" s="973"/>
      <c r="M221" s="177"/>
      <c r="N221" s="177"/>
      <c r="O221" s="177"/>
      <c r="P221" s="177"/>
      <c r="Q221" s="973"/>
      <c r="R221" s="177"/>
      <c r="S221" s="177"/>
      <c r="T221" s="177"/>
      <c r="U221" s="177"/>
      <c r="V221" s="973"/>
      <c r="W221" s="177"/>
      <c r="X221" s="177"/>
      <c r="Y221" s="177"/>
      <c r="Z221" s="177"/>
      <c r="AA221" s="973"/>
      <c r="AB221" s="177"/>
      <c r="AC221" s="177"/>
      <c r="AD221" s="177"/>
      <c r="AE221" s="177"/>
      <c r="AF221" s="973"/>
      <c r="AG221" s="177"/>
      <c r="AH221" s="177"/>
      <c r="AI221" s="177"/>
      <c r="AJ221" s="177"/>
      <c r="AK221" s="973"/>
      <c r="AL221" s="177"/>
      <c r="AM221" s="177"/>
      <c r="AN221" s="177"/>
      <c r="AO221" s="177"/>
      <c r="AP221" s="973"/>
      <c r="AQ221" s="177"/>
      <c r="AR221" s="177"/>
      <c r="AS221" s="177"/>
      <c r="AT221" s="177"/>
      <c r="AU221" s="973"/>
      <c r="AV221" s="177"/>
      <c r="AW221" s="177"/>
      <c r="AX221" s="177"/>
      <c r="AY221" s="177"/>
      <c r="AZ221" s="973"/>
      <c r="BA221" s="177"/>
      <c r="BB221" s="177"/>
      <c r="BC221" s="177"/>
      <c r="BD221" s="177"/>
      <c r="BE221" s="973"/>
      <c r="BF221" s="177"/>
      <c r="BG221" s="177"/>
      <c r="BH221" s="638"/>
      <c r="BI221" s="177"/>
      <c r="BJ221" s="973">
        <f>SUM(BF221,BG221,BH221,BI221)</f>
        <v>0</v>
      </c>
      <c r="BK221" s="177"/>
      <c r="BL221" s="177"/>
      <c r="BM221" s="177"/>
      <c r="BN221" s="177"/>
      <c r="BO221" s="973">
        <f>SUM(BK221,BL221,BM221,BN221)</f>
        <v>0</v>
      </c>
      <c r="BP221" s="973"/>
      <c r="BQ221" s="973"/>
      <c r="BR221" s="973"/>
      <c r="BS221" s="229"/>
    </row>
    <row r="222" spans="1:71" s="44" customFormat="1" ht="15">
      <c r="A222" s="120" t="s">
        <v>74</v>
      </c>
      <c r="B222" s="188"/>
      <c r="C222" s="1022">
        <f t="shared" si="532" ref="C222:AN222">C217-SUM(C218:C221)</f>
        <v>1497</v>
      </c>
      <c r="D222" s="1022">
        <f t="shared" si="532"/>
        <v>2344</v>
      </c>
      <c r="E222" s="1022">
        <f t="shared" si="532"/>
        <v>1937</v>
      </c>
      <c r="F222" s="1022">
        <f t="shared" si="532"/>
        <v>2866</v>
      </c>
      <c r="G222" s="1022">
        <f t="shared" si="532"/>
        <v>3158</v>
      </c>
      <c r="H222" s="117">
        <f t="shared" si="532"/>
        <v>732</v>
      </c>
      <c r="I222" s="117">
        <f t="shared" si="532"/>
        <v>810</v>
      </c>
      <c r="J222" s="117">
        <f t="shared" si="532"/>
        <v>706</v>
      </c>
      <c r="K222" s="117">
        <f t="shared" si="532"/>
        <v>703</v>
      </c>
      <c r="L222" s="1022">
        <f t="shared" si="532"/>
        <v>2951</v>
      </c>
      <c r="M222" s="117">
        <f t="shared" si="532"/>
        <v>663</v>
      </c>
      <c r="N222" s="117">
        <f t="shared" si="532"/>
        <v>573</v>
      </c>
      <c r="O222" s="117">
        <f t="shared" si="532"/>
        <v>567</v>
      </c>
      <c r="P222" s="117">
        <f t="shared" si="532"/>
        <v>730</v>
      </c>
      <c r="Q222" s="1022">
        <f t="shared" si="532"/>
        <v>2533</v>
      </c>
      <c r="R222" s="117">
        <f t="shared" si="532"/>
        <v>731</v>
      </c>
      <c r="S222" s="117">
        <f t="shared" si="532"/>
        <v>548</v>
      </c>
      <c r="T222" s="117">
        <f t="shared" si="532"/>
        <v>629</v>
      </c>
      <c r="U222" s="117">
        <f t="shared" si="532"/>
        <v>751</v>
      </c>
      <c r="V222" s="1022">
        <f t="shared" si="532"/>
        <v>2659</v>
      </c>
      <c r="W222" s="117">
        <f t="shared" si="532"/>
        <v>592</v>
      </c>
      <c r="X222" s="117">
        <f t="shared" si="532"/>
        <v>713</v>
      </c>
      <c r="Y222" s="117">
        <f t="shared" si="532"/>
        <v>716</v>
      </c>
      <c r="Z222" s="117">
        <f t="shared" si="532"/>
        <v>2583</v>
      </c>
      <c r="AA222" s="1022">
        <f t="shared" si="532"/>
        <v>4604</v>
      </c>
      <c r="AB222" s="117">
        <f t="shared" si="532"/>
        <v>717</v>
      </c>
      <c r="AC222" s="117">
        <f t="shared" si="532"/>
        <v>832</v>
      </c>
      <c r="AD222" s="117">
        <f t="shared" si="532"/>
        <v>845</v>
      </c>
      <c r="AE222" s="117">
        <f t="shared" si="532"/>
        <v>526</v>
      </c>
      <c r="AF222" s="1022">
        <f t="shared" si="532"/>
        <v>2920</v>
      </c>
      <c r="AG222" s="117">
        <f t="shared" si="532"/>
        <v>928</v>
      </c>
      <c r="AH222" s="117">
        <f t="shared" si="532"/>
        <v>817</v>
      </c>
      <c r="AI222" s="117">
        <f t="shared" si="532"/>
        <v>777</v>
      </c>
      <c r="AJ222" s="117">
        <f t="shared" si="532"/>
        <v>782</v>
      </c>
      <c r="AK222" s="1022">
        <f t="shared" si="532"/>
        <v>3304</v>
      </c>
      <c r="AL222" s="117">
        <f t="shared" si="532"/>
        <v>566</v>
      </c>
      <c r="AM222" s="117">
        <f t="shared" si="532"/>
        <v>805</v>
      </c>
      <c r="AN222" s="117">
        <f t="shared" si="532"/>
        <v>2456</v>
      </c>
      <c r="AO222" s="117">
        <f t="shared" si="533" ref="AO222:AP222">AO217-SUM(AO218:AO221)</f>
        <v>951</v>
      </c>
      <c r="AP222" s="1022">
        <f t="shared" si="533"/>
        <v>4778</v>
      </c>
      <c r="AQ222" s="117">
        <f t="shared" si="534" ref="AQ222">AQ217-SUM(AQ218:AQ221)</f>
        <v>1293</v>
      </c>
      <c r="AR222" s="117">
        <f t="shared" si="535" ref="AR222">AR217-SUM(AR218:AR221)</f>
        <v>1105</v>
      </c>
      <c r="AS222" s="117">
        <f t="shared" si="536" ref="AS222:AW222">AS217-SUM(AS218:AS221)</f>
        <v>888</v>
      </c>
      <c r="AT222" s="117">
        <f t="shared" si="536"/>
        <v>1039</v>
      </c>
      <c r="AU222" s="1022">
        <f t="shared" si="536"/>
        <v>4325</v>
      </c>
      <c r="AV222" s="117">
        <f t="shared" si="536"/>
        <v>1047</v>
      </c>
      <c r="AW222" s="117">
        <f t="shared" si="536"/>
        <v>1394</v>
      </c>
      <c r="AX222" s="117">
        <f t="shared" si="537" ref="AX222:BJ222">AX217-SUM(AX218:AX221)</f>
        <v>1781</v>
      </c>
      <c r="AY222" s="117">
        <f t="shared" si="537"/>
        <v>196</v>
      </c>
      <c r="AZ222" s="1022">
        <f t="shared" si="537"/>
        <v>4418</v>
      </c>
      <c r="BA222" s="117">
        <f t="shared" si="538" ref="BA222:BI222">BA217-SUM(BA218:BA221)</f>
        <v>1188</v>
      </c>
      <c r="BB222" s="117">
        <f t="shared" si="538"/>
        <v>1634</v>
      </c>
      <c r="BC222" s="117">
        <f t="shared" si="538"/>
        <v>1569</v>
      </c>
      <c r="BD222" s="117">
        <f t="shared" si="538"/>
        <v>268</v>
      </c>
      <c r="BE222" s="1022">
        <f t="shared" si="538"/>
        <v>4659</v>
      </c>
      <c r="BF222" s="117">
        <f>BF217-SUM(BF218:BF221)</f>
        <v>1879</v>
      </c>
      <c r="BG222" s="117">
        <f>BG217-SUM(BG218:BG221)</f>
        <v>1755</v>
      </c>
      <c r="BH222" s="825">
        <f>BH217-SUM(BH218:BH221)</f>
        <v>-93</v>
      </c>
      <c r="BI222" s="31">
        <f t="shared" si="538"/>
        <v>846.42396401704968</v>
      </c>
      <c r="BJ222" s="1008">
        <f t="shared" si="537"/>
        <v>4387.4239640170472</v>
      </c>
      <c r="BK222" s="31">
        <f t="shared" si="539" ref="BK222:BR222">BK217-SUM(BK218:BK221)</f>
        <v>970.6656112817667</v>
      </c>
      <c r="BL222" s="31">
        <f t="shared" si="539"/>
        <v>974.46545929424644</v>
      </c>
      <c r="BM222" s="31">
        <f t="shared" si="539"/>
        <v>950.48046835653633</v>
      </c>
      <c r="BN222" s="31">
        <f t="shared" si="539"/>
        <v>1044.5970899323759</v>
      </c>
      <c r="BO222" s="1008">
        <f t="shared" si="539"/>
        <v>3940.2086288649261</v>
      </c>
      <c r="BP222" s="1008">
        <f t="shared" si="539"/>
        <v>4181.5757074884486</v>
      </c>
      <c r="BQ222" s="1008">
        <f t="shared" si="539"/>
        <v>4128.2527069076195</v>
      </c>
      <c r="BR222" s="1008">
        <f t="shared" si="539"/>
        <v>3117.6098213295713</v>
      </c>
      <c r="BS222" s="100"/>
    </row>
    <row r="223" spans="1:71" s="224" customFormat="1" ht="15">
      <c r="A223" s="312" t="s">
        <v>75</v>
      </c>
      <c r="B223" s="504"/>
      <c r="C223" s="975"/>
      <c r="D223" s="975"/>
      <c r="E223" s="975"/>
      <c r="F223" s="975"/>
      <c r="G223" s="975"/>
      <c r="H223" s="480"/>
      <c r="I223" s="480"/>
      <c r="J223" s="480"/>
      <c r="K223" s="480"/>
      <c r="L223" s="975"/>
      <c r="M223" s="480"/>
      <c r="N223" s="480"/>
      <c r="O223" s="480"/>
      <c r="P223" s="480"/>
      <c r="Q223" s="975"/>
      <c r="R223" s="480"/>
      <c r="S223" s="480"/>
      <c r="T223" s="480"/>
      <c r="U223" s="480"/>
      <c r="V223" s="975"/>
      <c r="W223" s="480"/>
      <c r="X223" s="480"/>
      <c r="Y223" s="480"/>
      <c r="Z223" s="480"/>
      <c r="AA223" s="975"/>
      <c r="AB223" s="480"/>
      <c r="AC223" s="480"/>
      <c r="AD223" s="480"/>
      <c r="AE223" s="480"/>
      <c r="AF223" s="975"/>
      <c r="AG223" s="480"/>
      <c r="AH223" s="480"/>
      <c r="AI223" s="480"/>
      <c r="AJ223" s="480"/>
      <c r="AK223" s="975"/>
      <c r="AL223" s="480"/>
      <c r="AM223" s="480"/>
      <c r="AN223" s="480"/>
      <c r="AO223" s="480"/>
      <c r="AP223" s="975"/>
      <c r="AQ223" s="480"/>
      <c r="AR223" s="480"/>
      <c r="AS223" s="480"/>
      <c r="AT223" s="480"/>
      <c r="AU223" s="975"/>
      <c r="AV223" s="480"/>
      <c r="AW223" s="480"/>
      <c r="AX223" s="480"/>
      <c r="AY223" s="480"/>
      <c r="AZ223" s="975"/>
      <c r="BA223" s="480"/>
      <c r="BB223" s="480"/>
      <c r="BC223" s="480"/>
      <c r="BD223" s="480"/>
      <c r="BE223" s="975"/>
      <c r="BF223" s="480"/>
      <c r="BG223" s="480"/>
      <c r="BH223" s="761"/>
      <c r="BI223" s="480"/>
      <c r="BJ223" s="975">
        <f>SUM(BF223,BG223,BH223,BI223)</f>
        <v>0</v>
      </c>
      <c r="BK223" s="480"/>
      <c r="BL223" s="480"/>
      <c r="BM223" s="480"/>
      <c r="BN223" s="480"/>
      <c r="BO223" s="975">
        <f>SUM(BK223,BL223,BM223,BN223)</f>
        <v>0</v>
      </c>
      <c r="BP223" s="975"/>
      <c r="BQ223" s="975"/>
      <c r="BR223" s="975"/>
      <c r="BS223" s="229"/>
    </row>
    <row r="224" spans="1:71" s="44" customFormat="1" ht="15">
      <c r="A224" s="120" t="s">
        <v>76</v>
      </c>
      <c r="B224" s="188"/>
      <c r="C224" s="1022">
        <f t="shared" si="540" ref="C224:AN224">C222-C223</f>
        <v>1497</v>
      </c>
      <c r="D224" s="1022">
        <f t="shared" si="540"/>
        <v>2344</v>
      </c>
      <c r="E224" s="1022">
        <f t="shared" si="540"/>
        <v>1937</v>
      </c>
      <c r="F224" s="1022">
        <f t="shared" si="540"/>
        <v>2866</v>
      </c>
      <c r="G224" s="1022">
        <f t="shared" si="540"/>
        <v>3158</v>
      </c>
      <c r="H224" s="117">
        <f t="shared" si="540"/>
        <v>732</v>
      </c>
      <c r="I224" s="117">
        <f t="shared" si="540"/>
        <v>810</v>
      </c>
      <c r="J224" s="117">
        <f t="shared" si="540"/>
        <v>706</v>
      </c>
      <c r="K224" s="117">
        <f t="shared" si="540"/>
        <v>703</v>
      </c>
      <c r="L224" s="1022">
        <f t="shared" si="540"/>
        <v>2951</v>
      </c>
      <c r="M224" s="117">
        <f t="shared" si="540"/>
        <v>663</v>
      </c>
      <c r="N224" s="117">
        <f t="shared" si="540"/>
        <v>573</v>
      </c>
      <c r="O224" s="117">
        <f t="shared" si="540"/>
        <v>567</v>
      </c>
      <c r="P224" s="117">
        <f t="shared" si="540"/>
        <v>730</v>
      </c>
      <c r="Q224" s="1022">
        <f t="shared" si="540"/>
        <v>2533</v>
      </c>
      <c r="R224" s="117">
        <f t="shared" si="540"/>
        <v>731</v>
      </c>
      <c r="S224" s="117">
        <f t="shared" si="540"/>
        <v>548</v>
      </c>
      <c r="T224" s="117">
        <f t="shared" si="540"/>
        <v>629</v>
      </c>
      <c r="U224" s="117">
        <f t="shared" si="540"/>
        <v>751</v>
      </c>
      <c r="V224" s="1022">
        <f t="shared" si="540"/>
        <v>2659</v>
      </c>
      <c r="W224" s="117">
        <f t="shared" si="540"/>
        <v>592</v>
      </c>
      <c r="X224" s="117">
        <f t="shared" si="540"/>
        <v>713</v>
      </c>
      <c r="Y224" s="117">
        <f t="shared" si="540"/>
        <v>716</v>
      </c>
      <c r="Z224" s="117">
        <f t="shared" si="540"/>
        <v>2583</v>
      </c>
      <c r="AA224" s="1022">
        <f t="shared" si="540"/>
        <v>4604</v>
      </c>
      <c r="AB224" s="117">
        <f t="shared" si="540"/>
        <v>717</v>
      </c>
      <c r="AC224" s="117">
        <f t="shared" si="540"/>
        <v>832</v>
      </c>
      <c r="AD224" s="117">
        <f t="shared" si="540"/>
        <v>845</v>
      </c>
      <c r="AE224" s="117">
        <f t="shared" si="540"/>
        <v>526</v>
      </c>
      <c r="AF224" s="1022">
        <f t="shared" si="540"/>
        <v>2920</v>
      </c>
      <c r="AG224" s="117">
        <f t="shared" si="540"/>
        <v>928</v>
      </c>
      <c r="AH224" s="117">
        <f t="shared" si="540"/>
        <v>817</v>
      </c>
      <c r="AI224" s="117">
        <f t="shared" si="540"/>
        <v>777</v>
      </c>
      <c r="AJ224" s="117">
        <f t="shared" si="540"/>
        <v>782</v>
      </c>
      <c r="AK224" s="1022">
        <f t="shared" si="540"/>
        <v>3304</v>
      </c>
      <c r="AL224" s="117">
        <f t="shared" si="540"/>
        <v>566</v>
      </c>
      <c r="AM224" s="117">
        <f t="shared" si="540"/>
        <v>805</v>
      </c>
      <c r="AN224" s="117">
        <f t="shared" si="540"/>
        <v>2456</v>
      </c>
      <c r="AO224" s="117">
        <f t="shared" si="541" ref="AO224:AR224">AO222-AO223</f>
        <v>951</v>
      </c>
      <c r="AP224" s="1022">
        <f t="shared" si="541"/>
        <v>4778</v>
      </c>
      <c r="AQ224" s="117">
        <f t="shared" si="541"/>
        <v>1293</v>
      </c>
      <c r="AR224" s="117">
        <f t="shared" si="541"/>
        <v>1105</v>
      </c>
      <c r="AS224" s="117">
        <f t="shared" si="542" ref="AS224:AW224">AS222-AS223</f>
        <v>888</v>
      </c>
      <c r="AT224" s="117">
        <f t="shared" si="542"/>
        <v>1039</v>
      </c>
      <c r="AU224" s="1022">
        <f t="shared" si="542"/>
        <v>4325</v>
      </c>
      <c r="AV224" s="117">
        <f t="shared" si="542"/>
        <v>1047</v>
      </c>
      <c r="AW224" s="117">
        <f t="shared" si="542"/>
        <v>1394</v>
      </c>
      <c r="AX224" s="117">
        <f t="shared" si="543" ref="AX224:BJ224">AX222-AX223</f>
        <v>1781</v>
      </c>
      <c r="AY224" s="117">
        <f t="shared" si="543"/>
        <v>196</v>
      </c>
      <c r="AZ224" s="1022">
        <f t="shared" si="543"/>
        <v>4418</v>
      </c>
      <c r="BA224" s="117">
        <f t="shared" si="544" ref="BA224:BI224">BA222-BA223</f>
        <v>1188</v>
      </c>
      <c r="BB224" s="117">
        <f t="shared" si="544"/>
        <v>1634</v>
      </c>
      <c r="BC224" s="117">
        <f t="shared" si="544"/>
        <v>1569</v>
      </c>
      <c r="BD224" s="117">
        <f t="shared" si="544"/>
        <v>268</v>
      </c>
      <c r="BE224" s="1022">
        <f t="shared" si="544"/>
        <v>4659</v>
      </c>
      <c r="BF224" s="117">
        <f>BF222-BF223</f>
        <v>1879</v>
      </c>
      <c r="BG224" s="117">
        <f>BG222-BG223</f>
        <v>1755</v>
      </c>
      <c r="BH224" s="825">
        <f>BH222-BH223</f>
        <v>-93</v>
      </c>
      <c r="BI224" s="31">
        <f t="shared" si="544"/>
        <v>846.42396401704968</v>
      </c>
      <c r="BJ224" s="1008">
        <f t="shared" si="543"/>
        <v>4387.4239640170472</v>
      </c>
      <c r="BK224" s="31">
        <f t="shared" si="545" ref="BK224:BR224">BK222-BK223</f>
        <v>970.6656112817667</v>
      </c>
      <c r="BL224" s="31">
        <f t="shared" si="545"/>
        <v>974.46545929424644</v>
      </c>
      <c r="BM224" s="31">
        <f t="shared" si="545"/>
        <v>950.48046835653633</v>
      </c>
      <c r="BN224" s="31">
        <f t="shared" si="545"/>
        <v>1044.5970899323759</v>
      </c>
      <c r="BO224" s="1008">
        <f t="shared" si="545"/>
        <v>3940.2086288649261</v>
      </c>
      <c r="BP224" s="1008">
        <f t="shared" si="545"/>
        <v>4181.5757074884486</v>
      </c>
      <c r="BQ224" s="1008">
        <f t="shared" si="545"/>
        <v>4128.2527069076195</v>
      </c>
      <c r="BR224" s="1008">
        <f t="shared" si="545"/>
        <v>3117.6098213295713</v>
      </c>
      <c r="BS224" s="100"/>
    </row>
    <row r="225" spans="1:71" s="224" customFormat="1" ht="15">
      <c r="A225" s="315" t="s">
        <v>77</v>
      </c>
      <c r="B225" s="505"/>
      <c r="C225" s="1023">
        <f t="shared" si="546" ref="C225:AM225">-(C198-C190)</f>
        <v>-780</v>
      </c>
      <c r="D225" s="1023">
        <f t="shared" si="546"/>
        <v>-274</v>
      </c>
      <c r="E225" s="1023">
        <f t="shared" si="546"/>
        <v>-1009</v>
      </c>
      <c r="F225" s="1023">
        <f t="shared" si="546"/>
        <v>-231</v>
      </c>
      <c r="G225" s="1023">
        <f t="shared" si="546"/>
        <v>271</v>
      </c>
      <c r="H225" s="316">
        <f t="shared" si="546"/>
        <v>-42</v>
      </c>
      <c r="I225" s="316">
        <f t="shared" si="546"/>
        <v>53</v>
      </c>
      <c r="J225" s="316">
        <f t="shared" si="546"/>
        <v>21</v>
      </c>
      <c r="K225" s="316">
        <f t="shared" si="546"/>
        <v>122</v>
      </c>
      <c r="L225" s="1023">
        <f t="shared" si="546"/>
        <v>154</v>
      </c>
      <c r="M225" s="316">
        <f t="shared" si="546"/>
        <v>-15</v>
      </c>
      <c r="N225" s="316">
        <f t="shared" si="546"/>
        <v>-78</v>
      </c>
      <c r="O225" s="316">
        <f t="shared" si="546"/>
        <v>-105</v>
      </c>
      <c r="P225" s="316">
        <f t="shared" si="546"/>
        <v>62</v>
      </c>
      <c r="Q225" s="1023">
        <f t="shared" si="546"/>
        <v>-136</v>
      </c>
      <c r="R225" s="316">
        <f t="shared" si="546"/>
        <v>26</v>
      </c>
      <c r="S225" s="316">
        <f t="shared" si="546"/>
        <v>-135</v>
      </c>
      <c r="T225" s="316">
        <f t="shared" si="546"/>
        <v>-84</v>
      </c>
      <c r="U225" s="316">
        <f t="shared" si="546"/>
        <v>162</v>
      </c>
      <c r="V225" s="1023">
        <f t="shared" si="546"/>
        <v>-31</v>
      </c>
      <c r="W225" s="316">
        <f t="shared" si="546"/>
        <v>-79</v>
      </c>
      <c r="X225" s="316">
        <f t="shared" si="546"/>
        <v>-26</v>
      </c>
      <c r="Y225" s="316">
        <f t="shared" si="546"/>
        <v>11</v>
      </c>
      <c r="Z225" s="316">
        <f t="shared" si="546"/>
        <v>1708</v>
      </c>
      <c r="AA225" s="1023">
        <f t="shared" si="546"/>
        <v>1614</v>
      </c>
      <c r="AB225" s="316">
        <f t="shared" si="546"/>
        <v>-83</v>
      </c>
      <c r="AC225" s="316">
        <f t="shared" si="546"/>
        <v>5</v>
      </c>
      <c r="AD225" s="316">
        <f t="shared" si="546"/>
        <v>52</v>
      </c>
      <c r="AE225" s="316">
        <f t="shared" si="546"/>
        <v>-253</v>
      </c>
      <c r="AF225" s="1023">
        <f t="shared" si="546"/>
        <v>-278</v>
      </c>
      <c r="AG225" s="316">
        <f t="shared" si="546"/>
        <v>71</v>
      </c>
      <c r="AH225" s="316">
        <f t="shared" si="546"/>
        <v>-34</v>
      </c>
      <c r="AI225" s="316">
        <f t="shared" si="546"/>
        <v>-71</v>
      </c>
      <c r="AJ225" s="316">
        <f t="shared" si="546"/>
        <v>39</v>
      </c>
      <c r="AK225" s="1023">
        <f t="shared" si="546"/>
        <v>5</v>
      </c>
      <c r="AL225" s="316">
        <f t="shared" si="546"/>
        <v>-307</v>
      </c>
      <c r="AM225" s="316">
        <f t="shared" si="546"/>
        <v>-111</v>
      </c>
      <c r="AN225" s="316">
        <f t="shared" si="547" ref="AN225:AR225">-(AN198-AN190)</f>
        <v>1465</v>
      </c>
      <c r="AO225" s="316">
        <f t="shared" si="547"/>
        <v>210</v>
      </c>
      <c r="AP225" s="1023">
        <f t="shared" si="547"/>
        <v>1257</v>
      </c>
      <c r="AQ225" s="316">
        <f t="shared" si="547"/>
        <v>248</v>
      </c>
      <c r="AR225" s="316">
        <f t="shared" si="547"/>
        <v>19</v>
      </c>
      <c r="AS225" s="316">
        <f t="shared" si="548" ref="AS225:AU225">-(AS198-AS190)</f>
        <v>-157</v>
      </c>
      <c r="AT225" s="316">
        <f t="shared" si="548"/>
        <v>159</v>
      </c>
      <c r="AU225" s="1023">
        <f t="shared" si="548"/>
        <v>268</v>
      </c>
      <c r="AV225" s="316">
        <f t="shared" si="549" ref="AV225:AZ225">-(AV198-AV190)</f>
        <v>105</v>
      </c>
      <c r="AW225" s="316">
        <f t="shared" si="549"/>
        <v>448</v>
      </c>
      <c r="AX225" s="316">
        <f t="shared" si="549"/>
        <v>871</v>
      </c>
      <c r="AY225" s="316">
        <f t="shared" si="549"/>
        <v>-621</v>
      </c>
      <c r="AZ225" s="1023">
        <f t="shared" si="549"/>
        <v>805</v>
      </c>
      <c r="BA225" s="316">
        <f t="shared" si="550" ref="BA225:BI225">-(BA198-BA190)</f>
        <v>194</v>
      </c>
      <c r="BB225" s="316">
        <f t="shared" si="550"/>
        <v>656</v>
      </c>
      <c r="BC225" s="316">
        <f t="shared" si="550"/>
        <v>441</v>
      </c>
      <c r="BD225" s="316">
        <f t="shared" si="550"/>
        <v>-478</v>
      </c>
      <c r="BE225" s="1023">
        <f t="shared" si="550"/>
        <v>812</v>
      </c>
      <c r="BF225" s="316">
        <f>-(BF198-BF190)</f>
        <v>874</v>
      </c>
      <c r="BG225" s="316">
        <f>-(BG198-BG190)</f>
        <v>683</v>
      </c>
      <c r="BH225" s="762">
        <f>-(BH198-BH190)</f>
        <v>-1320</v>
      </c>
      <c r="BI225" s="615">
        <f t="shared" si="550"/>
        <v>19.799999999999955</v>
      </c>
      <c r="BJ225" s="1006">
        <f>SUM(BF225,BG225,BH225,BI225)</f>
        <v>256.79999999999995</v>
      </c>
      <c r="BK225" s="615">
        <f>-(BK198-BK190)</f>
        <v>19.799999999999955</v>
      </c>
      <c r="BL225" s="615">
        <f>-(BL198-BL190)</f>
        <v>19</v>
      </c>
      <c r="BM225" s="615">
        <f>-(BM198-BM190)</f>
        <v>19.799999999999955</v>
      </c>
      <c r="BN225" s="615">
        <f>-(BN198-BN190)</f>
        <v>19</v>
      </c>
      <c r="BO225" s="1006">
        <f>SUM(BK225,BL225,BM225,BN225)</f>
        <v>77.599999999999909</v>
      </c>
      <c r="BP225" s="1006">
        <f>-(BP198-BP190)</f>
        <v>83.199999999999818</v>
      </c>
      <c r="BQ225" s="1006">
        <f>-(BQ198-BQ190)</f>
        <v>85.599999999999909</v>
      </c>
      <c r="BR225" s="1006">
        <f>-(BR198-BR190)</f>
        <v>64</v>
      </c>
      <c r="BS225" s="229"/>
    </row>
    <row r="226" spans="1:71" s="224" customFormat="1" ht="15">
      <c r="A226" s="107" t="s">
        <v>78</v>
      </c>
      <c r="B226" s="365"/>
      <c r="C226" s="973"/>
      <c r="D226" s="973"/>
      <c r="E226" s="973"/>
      <c r="F226" s="973"/>
      <c r="G226" s="973"/>
      <c r="H226" s="177"/>
      <c r="I226" s="177"/>
      <c r="J226" s="177"/>
      <c r="K226" s="177"/>
      <c r="L226" s="973"/>
      <c r="M226" s="177"/>
      <c r="N226" s="177"/>
      <c r="O226" s="177"/>
      <c r="P226" s="177"/>
      <c r="Q226" s="973"/>
      <c r="R226" s="177"/>
      <c r="S226" s="177"/>
      <c r="T226" s="177"/>
      <c r="U226" s="177"/>
      <c r="V226" s="973"/>
      <c r="W226" s="177"/>
      <c r="X226" s="177"/>
      <c r="Y226" s="177"/>
      <c r="Z226" s="177"/>
      <c r="AA226" s="973"/>
      <c r="AB226" s="177"/>
      <c r="AC226" s="177"/>
      <c r="AD226" s="177"/>
      <c r="AE226" s="177"/>
      <c r="AF226" s="973"/>
      <c r="AG226" s="177"/>
      <c r="AH226" s="177"/>
      <c r="AI226" s="177"/>
      <c r="AJ226" s="177"/>
      <c r="AK226" s="973"/>
      <c r="AL226" s="177"/>
      <c r="AM226" s="177"/>
      <c r="AN226" s="177"/>
      <c r="AO226" s="177"/>
      <c r="AP226" s="973"/>
      <c r="AQ226" s="177"/>
      <c r="AR226" s="177"/>
      <c r="AS226" s="177"/>
      <c r="AT226" s="177"/>
      <c r="AU226" s="973"/>
      <c r="AV226" s="177"/>
      <c r="AW226" s="177"/>
      <c r="AX226" s="177"/>
      <c r="AY226" s="177"/>
      <c r="AZ226" s="973"/>
      <c r="BA226" s="177"/>
      <c r="BB226" s="177"/>
      <c r="BC226" s="177"/>
      <c r="BD226" s="177"/>
      <c r="BE226" s="973"/>
      <c r="BF226" s="177"/>
      <c r="BG226" s="177"/>
      <c r="BH226" s="638"/>
      <c r="BI226" s="177"/>
      <c r="BJ226" s="973">
        <f>SUM(BF226,BG226,BH226,BI226)</f>
        <v>0</v>
      </c>
      <c r="BK226" s="177"/>
      <c r="BL226" s="177"/>
      <c r="BM226" s="177"/>
      <c r="BN226" s="177"/>
      <c r="BO226" s="973">
        <f>SUM(BK226,BL226,BM226,BN226)</f>
        <v>0</v>
      </c>
      <c r="BP226" s="973"/>
      <c r="BQ226" s="973"/>
      <c r="BR226" s="973"/>
      <c r="BS226" s="229"/>
    </row>
    <row r="227" spans="1:71" s="44" customFormat="1" ht="15">
      <c r="A227" s="120" t="s">
        <v>79</v>
      </c>
      <c r="B227" s="188"/>
      <c r="C227" s="1022">
        <f t="shared" si="551" ref="C227:AN227">C224-SUM(C225:C226)</f>
        <v>2277</v>
      </c>
      <c r="D227" s="1022">
        <f t="shared" si="551"/>
        <v>2618</v>
      </c>
      <c r="E227" s="1022">
        <f t="shared" si="551"/>
        <v>2946</v>
      </c>
      <c r="F227" s="1022">
        <f t="shared" si="551"/>
        <v>3097</v>
      </c>
      <c r="G227" s="1022">
        <f t="shared" si="551"/>
        <v>2887</v>
      </c>
      <c r="H227" s="117">
        <f t="shared" si="551"/>
        <v>774</v>
      </c>
      <c r="I227" s="117">
        <f t="shared" si="551"/>
        <v>757</v>
      </c>
      <c r="J227" s="117">
        <f t="shared" si="551"/>
        <v>685</v>
      </c>
      <c r="K227" s="117">
        <f t="shared" si="551"/>
        <v>581</v>
      </c>
      <c r="L227" s="1022">
        <f t="shared" si="551"/>
        <v>2797</v>
      </c>
      <c r="M227" s="117">
        <f t="shared" si="551"/>
        <v>678</v>
      </c>
      <c r="N227" s="117">
        <f t="shared" si="551"/>
        <v>651</v>
      </c>
      <c r="O227" s="117">
        <f t="shared" si="551"/>
        <v>672</v>
      </c>
      <c r="P227" s="117">
        <f t="shared" si="551"/>
        <v>668</v>
      </c>
      <c r="Q227" s="1022">
        <f t="shared" si="551"/>
        <v>2669</v>
      </c>
      <c r="R227" s="117">
        <f t="shared" si="551"/>
        <v>705</v>
      </c>
      <c r="S227" s="117">
        <f t="shared" si="551"/>
        <v>683</v>
      </c>
      <c r="T227" s="117">
        <f t="shared" si="551"/>
        <v>713</v>
      </c>
      <c r="U227" s="117">
        <f t="shared" si="551"/>
        <v>589</v>
      </c>
      <c r="V227" s="1022">
        <f t="shared" si="551"/>
        <v>2690</v>
      </c>
      <c r="W227" s="117">
        <f t="shared" si="551"/>
        <v>671</v>
      </c>
      <c r="X227" s="117">
        <f t="shared" si="551"/>
        <v>739</v>
      </c>
      <c r="Y227" s="117">
        <f t="shared" si="551"/>
        <v>705</v>
      </c>
      <c r="Z227" s="117">
        <f t="shared" si="551"/>
        <v>875</v>
      </c>
      <c r="AA227" s="1022">
        <f t="shared" si="551"/>
        <v>2990</v>
      </c>
      <c r="AB227" s="117">
        <f t="shared" si="551"/>
        <v>800</v>
      </c>
      <c r="AC227" s="117">
        <f t="shared" si="551"/>
        <v>827</v>
      </c>
      <c r="AD227" s="117">
        <f t="shared" si="551"/>
        <v>793</v>
      </c>
      <c r="AE227" s="117">
        <f t="shared" si="551"/>
        <v>779</v>
      </c>
      <c r="AF227" s="1022">
        <f t="shared" si="551"/>
        <v>3198</v>
      </c>
      <c r="AG227" s="117">
        <f t="shared" si="551"/>
        <v>857</v>
      </c>
      <c r="AH227" s="117">
        <f t="shared" si="551"/>
        <v>851</v>
      </c>
      <c r="AI227" s="117">
        <f t="shared" si="551"/>
        <v>848</v>
      </c>
      <c r="AJ227" s="117">
        <f t="shared" si="551"/>
        <v>743</v>
      </c>
      <c r="AK227" s="1022">
        <f t="shared" si="551"/>
        <v>3299</v>
      </c>
      <c r="AL227" s="117">
        <f t="shared" si="551"/>
        <v>873</v>
      </c>
      <c r="AM227" s="117">
        <f t="shared" si="551"/>
        <v>916</v>
      </c>
      <c r="AN227" s="117">
        <f t="shared" si="551"/>
        <v>991</v>
      </c>
      <c r="AO227" s="117">
        <f t="shared" si="552" ref="AO227:AP227">AO224-SUM(AO225:AO226)</f>
        <v>741</v>
      </c>
      <c r="AP227" s="1022">
        <f t="shared" si="552"/>
        <v>3521</v>
      </c>
      <c r="AQ227" s="117">
        <f t="shared" si="553" ref="AQ227">AQ224-SUM(AQ225:AQ226)</f>
        <v>1045</v>
      </c>
      <c r="AR227" s="117">
        <f t="shared" si="554" ref="AR227">AR224-SUM(AR225:AR226)</f>
        <v>1086</v>
      </c>
      <c r="AS227" s="117">
        <f t="shared" si="555" ref="AS227:AW227">AS224-SUM(AS225:AS226)</f>
        <v>1045</v>
      </c>
      <c r="AT227" s="117">
        <f t="shared" si="555"/>
        <v>880</v>
      </c>
      <c r="AU227" s="1022">
        <f t="shared" si="555"/>
        <v>4057</v>
      </c>
      <c r="AV227" s="117">
        <f t="shared" si="555"/>
        <v>942</v>
      </c>
      <c r="AW227" s="117">
        <f t="shared" si="555"/>
        <v>946</v>
      </c>
      <c r="AX227" s="117">
        <f t="shared" si="556" ref="AX227:BJ227">AX224-SUM(AX225:AX226)</f>
        <v>910</v>
      </c>
      <c r="AY227" s="117">
        <f t="shared" si="556"/>
        <v>817</v>
      </c>
      <c r="AZ227" s="1022">
        <f t="shared" si="556"/>
        <v>3613</v>
      </c>
      <c r="BA227" s="117">
        <f t="shared" si="557" ref="BA227:BI227">BA224-SUM(BA225:BA226)</f>
        <v>994</v>
      </c>
      <c r="BB227" s="117">
        <f t="shared" si="557"/>
        <v>978</v>
      </c>
      <c r="BC227" s="117">
        <f t="shared" si="557"/>
        <v>1128</v>
      </c>
      <c r="BD227" s="117">
        <f t="shared" si="557"/>
        <v>746</v>
      </c>
      <c r="BE227" s="1022">
        <f t="shared" si="557"/>
        <v>3847</v>
      </c>
      <c r="BF227" s="117">
        <f>BF224-SUM(BF225:BF226)</f>
        <v>1005</v>
      </c>
      <c r="BG227" s="117">
        <f>BG224-SUM(BG225:BG226)</f>
        <v>1072</v>
      </c>
      <c r="BH227" s="825">
        <f>BH224-SUM(BH225:BH226)</f>
        <v>1227</v>
      </c>
      <c r="BI227" s="31">
        <f t="shared" si="557"/>
        <v>826.62396401704973</v>
      </c>
      <c r="BJ227" s="1008">
        <f t="shared" si="556"/>
        <v>4130.623964017047</v>
      </c>
      <c r="BK227" s="31">
        <f t="shared" si="558" ref="BK227:BR227">BK224-SUM(BK225:BK226)</f>
        <v>950.86561128176675</v>
      </c>
      <c r="BL227" s="31">
        <f t="shared" si="558"/>
        <v>955.46545929424644</v>
      </c>
      <c r="BM227" s="31">
        <f t="shared" si="558"/>
        <v>930.68046835653638</v>
      </c>
      <c r="BN227" s="31">
        <f t="shared" si="558"/>
        <v>1025.5970899323759</v>
      </c>
      <c r="BO227" s="1008">
        <f t="shared" si="558"/>
        <v>3862.6086288649262</v>
      </c>
      <c r="BP227" s="1008">
        <f t="shared" si="558"/>
        <v>4098.3757074884488</v>
      </c>
      <c r="BQ227" s="1008">
        <f t="shared" si="558"/>
        <v>4042.6527069076196</v>
      </c>
      <c r="BR227" s="1008">
        <f t="shared" si="558"/>
        <v>3053.6098213295713</v>
      </c>
      <c r="BS227" s="100"/>
    </row>
    <row r="228" spans="1:71" s="45" customFormat="1" ht="15">
      <c r="A228" s="506"/>
      <c r="B228" s="507"/>
      <c r="C228" s="1024"/>
      <c r="D228" s="1024"/>
      <c r="E228" s="1024"/>
      <c r="F228" s="1024"/>
      <c r="G228" s="1024"/>
      <c r="H228" s="508"/>
      <c r="I228" s="508"/>
      <c r="J228" s="508"/>
      <c r="K228" s="508"/>
      <c r="L228" s="1024"/>
      <c r="M228" s="508"/>
      <c r="N228" s="508"/>
      <c r="O228" s="508"/>
      <c r="P228" s="508"/>
      <c r="Q228" s="1024"/>
      <c r="R228" s="508"/>
      <c r="S228" s="508"/>
      <c r="T228" s="508"/>
      <c r="U228" s="508"/>
      <c r="V228" s="1024"/>
      <c r="W228" s="508"/>
      <c r="X228" s="508"/>
      <c r="Y228" s="508"/>
      <c r="Z228" s="508"/>
      <c r="AA228" s="1024"/>
      <c r="AB228" s="508"/>
      <c r="AC228" s="508"/>
      <c r="AD228" s="508"/>
      <c r="AE228" s="508"/>
      <c r="AF228" s="1024"/>
      <c r="AG228" s="508"/>
      <c r="AH228" s="508"/>
      <c r="AI228" s="508"/>
      <c r="AJ228" s="508"/>
      <c r="AK228" s="1024"/>
      <c r="AL228" s="508"/>
      <c r="AM228" s="508"/>
      <c r="AN228" s="508"/>
      <c r="AO228" s="508"/>
      <c r="AP228" s="1024"/>
      <c r="AQ228" s="508"/>
      <c r="AR228" s="508"/>
      <c r="AS228" s="508"/>
      <c r="AT228" s="508"/>
      <c r="AU228" s="1024"/>
      <c r="AV228" s="508"/>
      <c r="AW228" s="508"/>
      <c r="AX228" s="508"/>
      <c r="AY228" s="508"/>
      <c r="AZ228" s="1024"/>
      <c r="BA228" s="508"/>
      <c r="BB228" s="508"/>
      <c r="BC228" s="508"/>
      <c r="BD228" s="508"/>
      <c r="BE228" s="1024"/>
      <c r="BF228" s="508"/>
      <c r="BG228" s="508"/>
      <c r="BH228" s="763"/>
      <c r="BI228" s="508"/>
      <c r="BJ228" s="1024"/>
      <c r="BK228" s="508"/>
      <c r="BL228" s="508"/>
      <c r="BM228" s="508"/>
      <c r="BN228" s="508"/>
      <c r="BO228" s="1024"/>
      <c r="BP228" s="1024"/>
      <c r="BQ228" s="1024"/>
      <c r="BR228" s="1024"/>
      <c r="BS228" s="112"/>
    </row>
    <row r="229" spans="1:71" s="41" customFormat="1" ht="15">
      <c r="A229" s="371" t="s">
        <v>80</v>
      </c>
      <c r="B229" s="372"/>
      <c r="C229" s="996">
        <f t="shared" si="559" ref="C229:AM229">C215/C212</f>
        <v>0.37136465324384788</v>
      </c>
      <c r="D229" s="996">
        <f t="shared" si="559"/>
        <v>0.24044630404463041</v>
      </c>
      <c r="E229" s="996">
        <f t="shared" si="559"/>
        <v>0.30203389830508476</v>
      </c>
      <c r="F229" s="996">
        <f t="shared" si="559"/>
        <v>0.18967921896792189</v>
      </c>
      <c r="G229" s="996">
        <f t="shared" si="559"/>
        <v>0.25664451827242524</v>
      </c>
      <c r="H229" s="371">
        <f t="shared" si="559"/>
        <v>0.33695652173913043</v>
      </c>
      <c r="I229" s="371">
        <f t="shared" si="559"/>
        <v>0.34571890145395801</v>
      </c>
      <c r="J229" s="371">
        <f t="shared" si="559"/>
        <v>0.34264432029795161</v>
      </c>
      <c r="K229" s="371">
        <f t="shared" si="559"/>
        <v>0.34604651162790695</v>
      </c>
      <c r="L229" s="996">
        <f t="shared" si="559"/>
        <v>0.24025829436651081</v>
      </c>
      <c r="M229" s="371">
        <f t="shared" si="559"/>
        <v>0.34550839091806518</v>
      </c>
      <c r="N229" s="371">
        <f t="shared" si="559"/>
        <v>0.34439359267734554</v>
      </c>
      <c r="O229" s="371">
        <f t="shared" si="559"/>
        <v>0.34375</v>
      </c>
      <c r="P229" s="371">
        <f t="shared" si="559"/>
        <v>0.34293429342934295</v>
      </c>
      <c r="Q229" s="996">
        <f t="shared" si="559"/>
        <v>0.33350595546349043</v>
      </c>
      <c r="R229" s="371">
        <f t="shared" si="559"/>
        <v>0.34556848701880039</v>
      </c>
      <c r="S229" s="371">
        <f t="shared" si="559"/>
        <v>0.34292565947242204</v>
      </c>
      <c r="T229" s="371">
        <f t="shared" si="559"/>
        <v>0.34683281412253375</v>
      </c>
      <c r="U229" s="371">
        <f t="shared" si="559"/>
        <v>0.34865568083261056</v>
      </c>
      <c r="V229" s="996">
        <f t="shared" si="559"/>
        <v>0.21735923284976641</v>
      </c>
      <c r="W229" s="371">
        <f t="shared" si="559"/>
        <v>0.34075723830734966</v>
      </c>
      <c r="X229" s="371">
        <f t="shared" si="559"/>
        <v>0.31770334928229665</v>
      </c>
      <c r="Y229" s="371">
        <f t="shared" si="559"/>
        <v>0.33395348837209304</v>
      </c>
      <c r="Z229" s="371">
        <f t="shared" si="559"/>
        <v>-1.583</v>
      </c>
      <c r="AA229" s="996">
        <f t="shared" si="559"/>
        <v>0.15704330512692882</v>
      </c>
      <c r="AB229" s="371">
        <f t="shared" si="559"/>
        <v>0.26985743380855398</v>
      </c>
      <c r="AC229" s="371">
        <f t="shared" si="559"/>
        <v>0.26436781609195403</v>
      </c>
      <c r="AD229" s="371">
        <f t="shared" si="559"/>
        <v>0.26265270506108201</v>
      </c>
      <c r="AE229" s="371">
        <f t="shared" si="559"/>
        <v>0.27348066298342544</v>
      </c>
      <c r="AF229" s="996">
        <f t="shared" si="559"/>
        <v>0.34622144112478032</v>
      </c>
      <c r="AG229" s="371">
        <f t="shared" si="559"/>
        <v>0.25281803542673109</v>
      </c>
      <c r="AH229" s="371">
        <f t="shared" si="559"/>
        <v>0.26330027051397653</v>
      </c>
      <c r="AI229" s="371">
        <f t="shared" si="559"/>
        <v>0.25</v>
      </c>
      <c r="AJ229" s="371">
        <f t="shared" si="559"/>
        <v>0.2608695652173913</v>
      </c>
      <c r="AK229" s="996">
        <f t="shared" si="559"/>
        <v>0.18132733408323959</v>
      </c>
      <c r="AL229" s="371">
        <f t="shared" si="559"/>
        <v>0.21388888888888888</v>
      </c>
      <c r="AM229" s="371">
        <f t="shared" si="559"/>
        <v>0.24766355140186916</v>
      </c>
      <c r="AN229" s="371">
        <f t="shared" si="560" ref="AN229:AR229">AN215/AN212</f>
        <v>-1.1300954032957502</v>
      </c>
      <c r="AO229" s="371">
        <f t="shared" si="560"/>
        <v>0.21792763157894737</v>
      </c>
      <c r="AP229" s="996">
        <f t="shared" si="560"/>
        <v>0.19091127674921857</v>
      </c>
      <c r="AQ229" s="371">
        <f t="shared" si="560"/>
        <v>0.19338739862757329</v>
      </c>
      <c r="AR229" s="158">
        <f t="shared" si="560"/>
        <v>0.19519300801165332</v>
      </c>
      <c r="AS229" s="371">
        <f t="shared" si="561" ref="AS229:AX229">AS215/AS212</f>
        <v>0.20215633423180593</v>
      </c>
      <c r="AT229" s="371">
        <f t="shared" si="561"/>
        <v>0.15733982157339821</v>
      </c>
      <c r="AU229" s="996">
        <f t="shared" si="561"/>
        <v>0.20574971815107101</v>
      </c>
      <c r="AV229" s="371">
        <f t="shared" si="561"/>
        <v>0.19088098918083463</v>
      </c>
      <c r="AW229" s="158">
        <f t="shared" si="561"/>
        <v>0.18384074941451992</v>
      </c>
      <c r="AX229" s="371">
        <f t="shared" si="561"/>
        <v>-0.3401053423626787</v>
      </c>
      <c r="AY229" s="371">
        <f t="shared" si="562" ref="AY229:BC229">AY215/AY212</f>
        <v>0.63568773234200748</v>
      </c>
      <c r="AZ229" s="996">
        <f t="shared" si="562"/>
        <v>0.24255493941261039</v>
      </c>
      <c r="BA229" s="371">
        <f t="shared" si="562"/>
        <v>0.11475409836065574</v>
      </c>
      <c r="BB229" s="158">
        <f t="shared" si="562"/>
        <v>0.10465753424657534</v>
      </c>
      <c r="BC229" s="371">
        <f t="shared" si="562"/>
        <v>0.13074792243767314</v>
      </c>
      <c r="BD229" s="158">
        <f t="shared" si="563" ref="BD229:BE229">BD215/BD212</f>
        <v>0.07586206896551724</v>
      </c>
      <c r="BE229" s="995">
        <f t="shared" si="563"/>
        <v>0.31603952869631319</v>
      </c>
      <c r="BF229" s="371">
        <f>BF215/BF212</f>
        <v>0.13410138248847928</v>
      </c>
      <c r="BG229" s="158">
        <f>BG215/BG212</f>
        <v>0.13075780089153047</v>
      </c>
      <c r="BH229" s="748">
        <f>BH215/BH212</f>
        <v>2.0108695652173911</v>
      </c>
      <c r="BI229" s="920">
        <v>0.01</v>
      </c>
      <c r="BJ229" s="996">
        <f>BJ215/BJ212</f>
        <v>0.14574641160264218</v>
      </c>
      <c r="BK229" s="920">
        <v>0.01</v>
      </c>
      <c r="BL229" s="920">
        <v>0.05</v>
      </c>
      <c r="BM229" s="920">
        <v>0.01</v>
      </c>
      <c r="BN229" s="920">
        <v>0.05</v>
      </c>
      <c r="BO229" s="996">
        <f>BO215/BO212</f>
        <v>0.030908917019495812</v>
      </c>
      <c r="BP229" s="1025">
        <v>0.01</v>
      </c>
      <c r="BQ229" s="1025">
        <v>0.01</v>
      </c>
      <c r="BR229" s="1025">
        <v>0.19999999999999998</v>
      </c>
      <c r="BS229" s="158"/>
    </row>
    <row r="230" spans="1:71" s="41" customFormat="1" ht="15">
      <c r="A230" s="371" t="s">
        <v>81</v>
      </c>
      <c r="B230" s="372"/>
      <c r="C230" s="996">
        <f t="shared" si="564" ref="C230:AO230">C216/C212</f>
        <v>-0.04116331096196868</v>
      </c>
      <c r="D230" s="996">
        <f t="shared" si="564"/>
        <v>0.10571827057182706</v>
      </c>
      <c r="E230" s="996">
        <f t="shared" si="564"/>
        <v>0.041355932203389831</v>
      </c>
      <c r="F230" s="996">
        <f t="shared" si="564"/>
        <v>0.14411901441190145</v>
      </c>
      <c r="G230" s="996">
        <f t="shared" si="564"/>
        <v>0.087624584717607978</v>
      </c>
      <c r="H230" s="371">
        <f t="shared" si="564"/>
        <v>0</v>
      </c>
      <c r="I230" s="371">
        <f t="shared" si="564"/>
        <v>0</v>
      </c>
      <c r="J230" s="371">
        <f t="shared" si="564"/>
        <v>0</v>
      </c>
      <c r="K230" s="371">
        <f t="shared" si="564"/>
        <v>0</v>
      </c>
      <c r="L230" s="996">
        <f t="shared" si="564"/>
        <v>0.10264974393230906</v>
      </c>
      <c r="M230" s="371">
        <f t="shared" si="564"/>
        <v>0</v>
      </c>
      <c r="N230" s="371">
        <f t="shared" si="564"/>
        <v>0</v>
      </c>
      <c r="O230" s="371">
        <f t="shared" si="564"/>
        <v>0</v>
      </c>
      <c r="P230" s="371">
        <f t="shared" si="564"/>
        <v>0</v>
      </c>
      <c r="Q230" s="996">
        <f t="shared" si="564"/>
        <v>0.010616261004660798</v>
      </c>
      <c r="R230" s="371">
        <f t="shared" si="564"/>
        <v>0</v>
      </c>
      <c r="S230" s="371">
        <f t="shared" si="564"/>
        <v>0</v>
      </c>
      <c r="T230" s="371">
        <f t="shared" si="564"/>
        <v>0</v>
      </c>
      <c r="U230" s="371">
        <f t="shared" si="564"/>
        <v>0</v>
      </c>
      <c r="V230" s="996">
        <f t="shared" si="564"/>
        <v>0.12884189820506517</v>
      </c>
      <c r="W230" s="371">
        <f t="shared" si="564"/>
        <v>0</v>
      </c>
      <c r="X230" s="371">
        <f t="shared" si="564"/>
        <v>0</v>
      </c>
      <c r="Y230" s="371">
        <f t="shared" si="564"/>
        <v>0</v>
      </c>
      <c r="Z230" s="371">
        <f t="shared" si="564"/>
        <v>0</v>
      </c>
      <c r="AA230" s="996">
        <f t="shared" si="564"/>
        <v>-0.30288700846192135</v>
      </c>
      <c r="AB230" s="371">
        <f t="shared" si="564"/>
        <v>0</v>
      </c>
      <c r="AC230" s="371">
        <f t="shared" si="564"/>
        <v>0</v>
      </c>
      <c r="AD230" s="371">
        <f t="shared" si="564"/>
        <v>0</v>
      </c>
      <c r="AE230" s="371">
        <f t="shared" si="564"/>
        <v>0</v>
      </c>
      <c r="AF230" s="996">
        <f t="shared" si="564"/>
        <v>-0.079337183027868435</v>
      </c>
      <c r="AG230" s="371">
        <f t="shared" si="564"/>
        <v>0</v>
      </c>
      <c r="AH230" s="371">
        <f t="shared" si="564"/>
        <v>0</v>
      </c>
      <c r="AI230" s="371">
        <f t="shared" si="564"/>
        <v>0</v>
      </c>
      <c r="AJ230" s="371">
        <f t="shared" si="564"/>
        <v>0</v>
      </c>
      <c r="AK230" s="996">
        <f t="shared" si="564"/>
        <v>0.07536557930258718</v>
      </c>
      <c r="AL230" s="371">
        <f t="shared" si="564"/>
        <v>0</v>
      </c>
      <c r="AM230" s="371">
        <f t="shared" si="564"/>
        <v>0</v>
      </c>
      <c r="AN230" s="371">
        <f t="shared" si="564"/>
        <v>0</v>
      </c>
      <c r="AO230" s="371">
        <f t="shared" si="564"/>
        <v>0</v>
      </c>
      <c r="AP230" s="996">
        <f>AP216/AP212</f>
        <v>-0.33974513104111564</v>
      </c>
      <c r="AQ230" s="371">
        <f t="shared" si="565" ref="AQ230:AT230">AQ216/AQ212</f>
        <v>0</v>
      </c>
      <c r="AR230" s="371">
        <f t="shared" si="565"/>
        <v>0</v>
      </c>
      <c r="AS230" s="371">
        <f t="shared" si="565"/>
        <v>0</v>
      </c>
      <c r="AT230" s="371">
        <f t="shared" si="565"/>
        <v>0</v>
      </c>
      <c r="AU230" s="996">
        <f>AU216/AU212</f>
        <v>-0.018414130026305899</v>
      </c>
      <c r="AV230" s="371">
        <f>AV216/AV212</f>
        <v>0</v>
      </c>
      <c r="AW230" s="371">
        <f t="shared" si="566" ref="AW230:AY230">AW216/AW212</f>
        <v>0</v>
      </c>
      <c r="AX230" s="371">
        <f t="shared" si="566"/>
        <v>0</v>
      </c>
      <c r="AY230" s="371">
        <f t="shared" si="566"/>
        <v>0</v>
      </c>
      <c r="AZ230" s="996">
        <f>AZ216/AZ212</f>
        <v>-0.14992811665639763</v>
      </c>
      <c r="BA230" s="371">
        <f>BA216/BA212</f>
        <v>0</v>
      </c>
      <c r="BB230" s="371">
        <f>BB216/BB212</f>
        <v>0</v>
      </c>
      <c r="BC230" s="371">
        <f>BC216/BC212</f>
        <v>0</v>
      </c>
      <c r="BD230" s="371">
        <f t="shared" si="567" ref="BD230">BD216/BD212</f>
        <v>0</v>
      </c>
      <c r="BE230" s="996">
        <f>BE216/BE212</f>
        <v>-0.20144431774990498</v>
      </c>
      <c r="BF230" s="371">
        <f>BF216/BF212</f>
        <v>0</v>
      </c>
      <c r="BG230" s="371">
        <f>BG216/BG212</f>
        <v>0</v>
      </c>
      <c r="BH230" s="748">
        <f>BH216/BH212</f>
        <v>0</v>
      </c>
      <c r="BI230" s="920">
        <v>0</v>
      </c>
      <c r="BJ230" s="996">
        <f>BJ216/BJ212</f>
        <v>0</v>
      </c>
      <c r="BK230" s="920">
        <v>0</v>
      </c>
      <c r="BL230" s="920">
        <v>0</v>
      </c>
      <c r="BM230" s="920">
        <v>0</v>
      </c>
      <c r="BN230" s="920">
        <v>0</v>
      </c>
      <c r="BO230" s="996">
        <f>BO216/BO212</f>
        <v>0</v>
      </c>
      <c r="BP230" s="1025">
        <v>-0.05</v>
      </c>
      <c r="BQ230" s="1025">
        <v>-0.08</v>
      </c>
      <c r="BR230" s="1025">
        <v>0</v>
      </c>
      <c r="BS230" s="158"/>
    </row>
    <row r="231" spans="1:71" s="223" customFormat="1" ht="15">
      <c r="A231" s="814"/>
      <c r="B231" s="500"/>
      <c r="C231" s="999"/>
      <c r="D231" s="999"/>
      <c r="E231" s="999"/>
      <c r="F231" s="999"/>
      <c r="G231" s="999"/>
      <c r="H231" s="832"/>
      <c r="I231" s="832"/>
      <c r="J231" s="832"/>
      <c r="K231" s="832"/>
      <c r="L231" s="999"/>
      <c r="M231" s="832"/>
      <c r="N231" s="832"/>
      <c r="O231" s="832"/>
      <c r="P231" s="832"/>
      <c r="Q231" s="999"/>
      <c r="R231" s="832"/>
      <c r="S231" s="832"/>
      <c r="T231" s="832"/>
      <c r="U231" s="832"/>
      <c r="V231" s="999"/>
      <c r="W231" s="832"/>
      <c r="X231" s="832"/>
      <c r="Y231" s="832"/>
      <c r="Z231" s="832"/>
      <c r="AA231" s="999"/>
      <c r="AB231" s="832"/>
      <c r="AC231" s="832"/>
      <c r="AD231" s="832"/>
      <c r="AE231" s="832"/>
      <c r="AF231" s="999"/>
      <c r="AG231" s="832"/>
      <c r="AH231" s="832"/>
      <c r="AI231" s="832"/>
      <c r="AJ231" s="832"/>
      <c r="AK231" s="999"/>
      <c r="AL231" s="832"/>
      <c r="AM231" s="832"/>
      <c r="AN231" s="832"/>
      <c r="AO231" s="832"/>
      <c r="AP231" s="999"/>
      <c r="AQ231" s="832"/>
      <c r="AR231" s="832"/>
      <c r="AS231" s="832"/>
      <c r="AT231" s="832"/>
      <c r="AU231" s="999"/>
      <c r="AV231" s="832"/>
      <c r="AW231" s="832"/>
      <c r="AX231" s="832"/>
      <c r="AY231" s="832"/>
      <c r="AZ231" s="999"/>
      <c r="BA231" s="832"/>
      <c r="BB231" s="832"/>
      <c r="BC231" s="832"/>
      <c r="BD231" s="832"/>
      <c r="BE231" s="999"/>
      <c r="BF231" s="832"/>
      <c r="BG231" s="832"/>
      <c r="BH231" s="833"/>
      <c r="BI231" s="832"/>
      <c r="BJ231" s="999"/>
      <c r="BK231" s="832"/>
      <c r="BL231" s="832"/>
      <c r="BM231" s="832"/>
      <c r="BN231" s="832"/>
      <c r="BO231" s="999"/>
      <c r="BP231" s="999"/>
      <c r="BQ231" s="999"/>
      <c r="BR231" s="999"/>
      <c r="BS231" s="816"/>
    </row>
    <row r="232" spans="1:71" s="48" customFormat="1" ht="15">
      <c r="A232" s="92" t="s">
        <v>82</v>
      </c>
      <c r="B232" s="509"/>
      <c r="C232" s="1026">
        <f t="shared" si="568" ref="C232:AM232">(C$222)/C237</f>
        <v>1.6043227764536427</v>
      </c>
      <c r="D232" s="1026">
        <f t="shared" si="568"/>
        <v>2.4987314460662033</v>
      </c>
      <c r="E232" s="1026">
        <f t="shared" si="568"/>
        <v>2.0760140530182052</v>
      </c>
      <c r="F232" s="1026">
        <f t="shared" si="568"/>
        <v>3.0693900631441866</v>
      </c>
      <c r="G232" s="1026">
        <f t="shared" si="568"/>
        <v>3.3993395076878032</v>
      </c>
      <c r="H232" s="96">
        <f t="shared" si="568"/>
        <v>0.80487145147350847</v>
      </c>
      <c r="I232" s="96">
        <f t="shared" si="568"/>
        <v>0.89491093978906611</v>
      </c>
      <c r="J232" s="96">
        <f t="shared" si="568"/>
        <v>0.78227840246783353</v>
      </c>
      <c r="K232" s="96">
        <f t="shared" si="568"/>
        <v>0.78746331518695256</v>
      </c>
      <c r="L232" s="1026">
        <f t="shared" si="568"/>
        <v>3.2701394491183589</v>
      </c>
      <c r="M232" s="96">
        <f t="shared" si="568"/>
        <v>0.75805042693217106</v>
      </c>
      <c r="N232" s="96">
        <f t="shared" si="568"/>
        <v>0.66369836357234191</v>
      </c>
      <c r="O232" s="96">
        <f t="shared" si="568"/>
        <v>0.66124762382357394</v>
      </c>
      <c r="P232" s="96">
        <f t="shared" si="568"/>
        <v>0.8587103816908831</v>
      </c>
      <c r="Q232" s="1026">
        <f t="shared" si="568"/>
        <v>2.9408759700362705</v>
      </c>
      <c r="R232" s="96">
        <f t="shared" si="568"/>
        <v>0.87283998968353282</v>
      </c>
      <c r="S232" s="96">
        <f t="shared" si="568"/>
        <v>0.66528591512020063</v>
      </c>
      <c r="T232" s="96">
        <f t="shared" si="568"/>
        <v>0.76985403371691397</v>
      </c>
      <c r="U232" s="96">
        <f t="shared" si="568"/>
        <v>0.92295137975700947</v>
      </c>
      <c r="V232" s="1026">
        <f t="shared" si="568"/>
        <v>3.2310904049131044</v>
      </c>
      <c r="W232" s="96">
        <f t="shared" si="568"/>
        <v>0.73791538902600151</v>
      </c>
      <c r="X232" s="96">
        <f t="shared" si="568"/>
        <v>0.89926923338874409</v>
      </c>
      <c r="Y232" s="96">
        <f t="shared" si="568"/>
        <v>0.90752612940105815</v>
      </c>
      <c r="Z232" s="96">
        <f t="shared" si="568"/>
        <v>3.2933070514765697</v>
      </c>
      <c r="AA232" s="1026">
        <f t="shared" si="568"/>
        <v>5.8128230573631194</v>
      </c>
      <c r="AB232" s="96">
        <f t="shared" si="568"/>
        <v>0.92094277824160309</v>
      </c>
      <c r="AC232" s="96">
        <f t="shared" si="568"/>
        <v>1.0763970197257517</v>
      </c>
      <c r="AD232" s="96">
        <f t="shared" si="568"/>
        <v>1.101624537676211</v>
      </c>
      <c r="AE232" s="96">
        <f t="shared" si="568"/>
        <v>0.69207157019987187</v>
      </c>
      <c r="AF232" s="1026">
        <f t="shared" si="568"/>
        <v>3.7942379558932835</v>
      </c>
      <c r="AG232" s="96">
        <f t="shared" si="568"/>
        <v>1.2349901453641956</v>
      </c>
      <c r="AH232" s="96">
        <f t="shared" si="568"/>
        <v>1.0964191246629886</v>
      </c>
      <c r="AI232" s="96">
        <f t="shared" si="568"/>
        <v>1.0500766272133371</v>
      </c>
      <c r="AJ232" s="96">
        <f t="shared" si="568"/>
        <v>1.0663277689750437</v>
      </c>
      <c r="AK232" s="1026">
        <f t="shared" si="568"/>
        <v>4.4503471109111628</v>
      </c>
      <c r="AL232" s="96">
        <f t="shared" si="568"/>
        <v>0.78137295234729409</v>
      </c>
      <c r="AM232" s="96">
        <f t="shared" si="568"/>
        <v>1.1213432717314236</v>
      </c>
      <c r="AN232" s="96">
        <f t="shared" si="569" ref="AN232:AQ232">(AN$222)/AN237</f>
        <v>3.450901927502958</v>
      </c>
      <c r="AO232" s="96">
        <f t="shared" si="569"/>
        <v>1.356602417063234</v>
      </c>
      <c r="AP232" s="1026">
        <f t="shared" si="569"/>
        <v>6.6946708850472607</v>
      </c>
      <c r="AQ232" s="96">
        <f t="shared" si="569"/>
        <v>1.8768016860733476</v>
      </c>
      <c r="AR232" s="96">
        <f t="shared" si="570" ref="AR232:AW232">(AR$222)/AR237</f>
        <v>1.6296733279256692</v>
      </c>
      <c r="AS232" s="96">
        <f t="shared" si="570"/>
        <v>1.3278266408677528</v>
      </c>
      <c r="AT232" s="96">
        <f t="shared" si="570"/>
        <v>1.5763920497648307</v>
      </c>
      <c r="AU232" s="1026">
        <f t="shared" si="570"/>
        <v>6.4205624264233236</v>
      </c>
      <c r="AV232" s="96">
        <f t="shared" si="570"/>
        <v>1.6113815557604196</v>
      </c>
      <c r="AW232" s="96">
        <f t="shared" si="570"/>
        <v>2.1757215076470211</v>
      </c>
      <c r="AX232" s="96">
        <f t="shared" si="571" ref="AX232:BC232">(AX$222)/AX237</f>
        <v>2.8299038690712641</v>
      </c>
      <c r="AY232" s="96">
        <f t="shared" si="571"/>
        <v>0.31620808427913427</v>
      </c>
      <c r="AZ232" s="1026">
        <f t="shared" si="571"/>
        <v>6.959496925093255</v>
      </c>
      <c r="BA232" s="96">
        <f t="shared" si="571"/>
        <v>1.943701376788475</v>
      </c>
      <c r="BB232" s="96">
        <f t="shared" si="571"/>
        <v>2.7199696375482323</v>
      </c>
      <c r="BC232" s="96">
        <f t="shared" si="571"/>
        <v>2.6537177418536446</v>
      </c>
      <c r="BD232" s="96">
        <f t="shared" si="572" ref="BD232:BE232">(BD$222)/BD237</f>
        <v>0.46057922993902484</v>
      </c>
      <c r="BE232" s="1026">
        <f t="shared" si="572"/>
        <v>7.8148456907642583</v>
      </c>
      <c r="BF232" s="96">
        <f>(BF$222)/BF237</f>
        <v>3.2684740974732382</v>
      </c>
      <c r="BG232" s="96">
        <f>(BG$222)/BG237</f>
        <v>3.1085439792551184</v>
      </c>
      <c r="BH232" s="826">
        <f>(BH$222)/BH237</f>
        <v>-0.16669683939207636</v>
      </c>
      <c r="BI232" s="57">
        <f ca="1">BI222/BI237</f>
        <v>1.5203846191459029</v>
      </c>
      <c r="BJ232" s="1027">
        <f ca="1" t="shared" si="573" ref="BJ232">BJ222/BJ237</f>
        <v>7.7862328756105468</v>
      </c>
      <c r="BK232" s="57">
        <f ca="1" t="shared" si="574" ref="BK232:BR232">BK222/BK237</f>
        <v>1.7435530283461198</v>
      </c>
      <c r="BL232" s="57">
        <f t="shared" ca="1" si="574"/>
        <v>1.7503784854679243</v>
      </c>
      <c r="BM232" s="57">
        <f t="shared" ca="1" si="574"/>
        <v>1.7072955709211977</v>
      </c>
      <c r="BN232" s="57">
        <f t="shared" ca="1" si="574"/>
        <v>1.8763520602610948</v>
      </c>
      <c r="BO232" s="1027">
        <f t="shared" ca="1" si="574"/>
        <v>7.0775791449963368</v>
      </c>
      <c r="BP232" s="1027">
        <f t="shared" ca="1" si="574"/>
        <v>7.5111334977887303</v>
      </c>
      <c r="BQ232" s="1027">
        <f t="shared" ca="1" si="574"/>
        <v>7.4153523368383212</v>
      </c>
      <c r="BR232" s="1027">
        <f t="shared" ca="1" si="574"/>
        <v>5.5999903385913692</v>
      </c>
      <c r="BS232" s="96"/>
    </row>
    <row r="233" spans="1:71" s="48" customFormat="1" ht="15">
      <c r="A233" s="92" t="s">
        <v>83</v>
      </c>
      <c r="B233" s="509"/>
      <c r="C233" s="1026">
        <f t="shared" si="575" ref="C233:AM233">(C$224)/C238</f>
        <v>1.5957344748999602</v>
      </c>
      <c r="D233" s="1026">
        <f t="shared" si="575"/>
        <v>2.4773560776604628</v>
      </c>
      <c r="E233" s="1026">
        <f t="shared" si="575"/>
        <v>2.0634041374608518</v>
      </c>
      <c r="F233" s="1026">
        <f t="shared" si="575"/>
        <v>3.0535684985946769</v>
      </c>
      <c r="G233" s="1026">
        <f t="shared" si="575"/>
        <v>3.3782049087734913</v>
      </c>
      <c r="H233" s="96">
        <f t="shared" si="575"/>
        <v>0.79965217315309844</v>
      </c>
      <c r="I233" s="96">
        <f t="shared" si="575"/>
        <v>0.88936712196407397</v>
      </c>
      <c r="J233" s="96">
        <f t="shared" si="575"/>
        <v>0.77756558093840933</v>
      </c>
      <c r="K233" s="96">
        <f t="shared" si="575"/>
        <v>0.78279847671647784</v>
      </c>
      <c r="L233" s="1026">
        <f t="shared" si="575"/>
        <v>3.25</v>
      </c>
      <c r="M233" s="96">
        <f t="shared" si="575"/>
        <v>0.75353410906809537</v>
      </c>
      <c r="N233" s="96">
        <f t="shared" si="575"/>
        <v>0.65974756883596575</v>
      </c>
      <c r="O233" s="96">
        <f t="shared" si="575"/>
        <v>0.6576169908745495</v>
      </c>
      <c r="P233" s="96">
        <f t="shared" si="575"/>
        <v>0.8536893412792711</v>
      </c>
      <c r="Q233" s="1026">
        <f t="shared" si="575"/>
        <v>2.9237808537947974</v>
      </c>
      <c r="R233" s="96">
        <f t="shared" si="575"/>
        <v>0.86833602584814218</v>
      </c>
      <c r="S233" s="96">
        <f t="shared" si="575"/>
        <v>0.66131500316176151</v>
      </c>
      <c r="T233" s="96">
        <f t="shared" si="575"/>
        <v>0.76494624702047964</v>
      </c>
      <c r="U233" s="96">
        <f t="shared" si="575"/>
        <v>0.91724070545703262</v>
      </c>
      <c r="V233" s="1026">
        <f t="shared" si="575"/>
        <v>3.2119655683089285</v>
      </c>
      <c r="W233" s="96">
        <f t="shared" si="575"/>
        <v>0.73254815390440742</v>
      </c>
      <c r="X233" s="96">
        <f t="shared" si="575"/>
        <v>0.8927051093282049</v>
      </c>
      <c r="Y233" s="96">
        <f t="shared" si="575"/>
        <v>0.90089863380483726</v>
      </c>
      <c r="Z233" s="96">
        <f t="shared" si="575"/>
        <v>3.2692891859052247</v>
      </c>
      <c r="AA233" s="1026">
        <f t="shared" si="575"/>
        <v>5.7704359160755017</v>
      </c>
      <c r="AB233" s="96">
        <f t="shared" si="575"/>
        <v>0.91471349183264195</v>
      </c>
      <c r="AC233" s="96">
        <f t="shared" si="575"/>
        <v>1.0696740965303733</v>
      </c>
      <c r="AD233" s="96">
        <f t="shared" si="575"/>
        <v>1.0944603468597407</v>
      </c>
      <c r="AE233" s="96">
        <f t="shared" si="575"/>
        <v>0.68748913544973689</v>
      </c>
      <c r="AF233" s="1026">
        <f t="shared" si="575"/>
        <v>3.7694442651520044</v>
      </c>
      <c r="AG233" s="96">
        <f t="shared" si="575"/>
        <v>1.227854298151603</v>
      </c>
      <c r="AH233" s="96">
        <f t="shared" si="575"/>
        <v>1.0910076664320845</v>
      </c>
      <c r="AI233" s="96">
        <f t="shared" si="575"/>
        <v>1.0445766708521433</v>
      </c>
      <c r="AJ233" s="96">
        <f t="shared" si="575"/>
        <v>1.0603921823874554</v>
      </c>
      <c r="AK233" s="1026">
        <f t="shared" si="575"/>
        <v>4.4264030116688771</v>
      </c>
      <c r="AL233" s="96">
        <f t="shared" si="575"/>
        <v>0.77799403996085292</v>
      </c>
      <c r="AM233" s="96">
        <f t="shared" si="575"/>
        <v>1.1184221494823303</v>
      </c>
      <c r="AN233" s="96">
        <f t="shared" si="576" ref="AN233:AQ233">(AN$224)/AN238</f>
        <v>3.4407734455227215</v>
      </c>
      <c r="AO233" s="96">
        <f t="shared" si="576"/>
        <v>1.3511228811452294</v>
      </c>
      <c r="AP233" s="1026">
        <f t="shared" si="576"/>
        <v>6.6713953800098293</v>
      </c>
      <c r="AQ233" s="96">
        <f t="shared" si="576"/>
        <v>1.8686591322947075</v>
      </c>
      <c r="AR233" s="96">
        <f t="shared" si="577" ref="AR233:AW233">(AR$224)/AR238</f>
        <v>1.6228044410503437</v>
      </c>
      <c r="AS233" s="96">
        <f t="shared" si="577"/>
        <v>1.3215760687576739</v>
      </c>
      <c r="AT233" s="96">
        <f t="shared" si="577"/>
        <v>1.5682734803294129</v>
      </c>
      <c r="AU233" s="1026">
        <f t="shared" si="577"/>
        <v>6.3910368847795791</v>
      </c>
      <c r="AV233" s="96">
        <f t="shared" si="577"/>
        <v>1.6037939607277272</v>
      </c>
      <c r="AW233" s="96">
        <f t="shared" si="577"/>
        <v>2.1671436766509702</v>
      </c>
      <c r="AX233" s="96">
        <f t="shared" si="578" ref="AX233:BC233">(AX$224)/AX238</f>
        <v>2.8182787769841093</v>
      </c>
      <c r="AY233" s="96">
        <f t="shared" si="578"/>
        <v>0.31460977152267916</v>
      </c>
      <c r="AZ233" s="1026">
        <f t="shared" si="578"/>
        <v>6.9285114991649088</v>
      </c>
      <c r="BA233" s="96">
        <f t="shared" si="578"/>
        <v>1.9350109943806497</v>
      </c>
      <c r="BB233" s="96">
        <f t="shared" si="578"/>
        <v>2.7101035113587173</v>
      </c>
      <c r="BC233" s="96">
        <f t="shared" si="578"/>
        <v>2.643211881481681</v>
      </c>
      <c r="BD233" s="96">
        <f t="shared" si="579" ref="BD233:BE233">(BD$224)/BD238</f>
        <v>0.45821286723282173</v>
      </c>
      <c r="BE233" s="1026">
        <f t="shared" si="579"/>
        <v>7.7812758352888123</v>
      </c>
      <c r="BF233" s="96">
        <f>(BF$224)/BF238</f>
        <v>3.2537810702324923</v>
      </c>
      <c r="BG233" s="96">
        <f>(BG$224)/BG238</f>
        <v>3.0961227017243025</v>
      </c>
      <c r="BH233" s="826">
        <f>(BH$224)/BH238</f>
        <v>-0.1659487450349206</v>
      </c>
      <c r="BI233" s="57">
        <f ca="1">BI224/BI238</f>
        <v>1.5142756568131399</v>
      </c>
      <c r="BJ233" s="1027">
        <f ca="1" t="shared" si="580" ref="BJ233">BJ224/BJ238</f>
        <v>7.7462728853694021</v>
      </c>
      <c r="BK233" s="57">
        <f ca="1" t="shared" si="581" ref="BK233:BR233">BK224/BK238</f>
        <v>1.7366066019383664</v>
      </c>
      <c r="BL233" s="57">
        <f t="shared" ca="1" si="581"/>
        <v>1.7434048660039088</v>
      </c>
      <c r="BM233" s="57">
        <f t="shared" ca="1" si="581"/>
        <v>1.7004935965350574</v>
      </c>
      <c r="BN233" s="57">
        <f t="shared" ca="1" si="581"/>
        <v>1.8688765540449153</v>
      </c>
      <c r="BO233" s="1027">
        <f t="shared" ca="1" si="581"/>
        <v>7.0493816185222498</v>
      </c>
      <c r="BP233" s="1027">
        <f t="shared" ca="1" si="581"/>
        <v>7.4812086631361865</v>
      </c>
      <c r="BQ233" s="1027">
        <f t="shared" ca="1" si="581"/>
        <v>7.3858091004365756</v>
      </c>
      <c r="BR233" s="1027">
        <f t="shared" ca="1" si="581"/>
        <v>5.577679620110926</v>
      </c>
      <c r="BS233" s="96"/>
    </row>
    <row r="234" spans="1:71" s="48" customFormat="1" ht="15">
      <c r="A234" s="92" t="s">
        <v>84</v>
      </c>
      <c r="B234" s="509"/>
      <c r="C234" s="1026">
        <f t="shared" si="582" ref="C234:AM234">(C$227)/C239</f>
        <v>2.4271792914811017</v>
      </c>
      <c r="D234" s="1026">
        <f t="shared" si="582"/>
        <v>2.7669446294006366</v>
      </c>
      <c r="E234" s="1026">
        <f t="shared" si="582"/>
        <v>3.1382491424675627</v>
      </c>
      <c r="F234" s="1026">
        <f t="shared" si="582"/>
        <v>3.2996865457598443</v>
      </c>
      <c r="G234" s="1026">
        <f t="shared" si="582"/>
        <v>3.0883082874062917</v>
      </c>
      <c r="H234" s="96">
        <f t="shared" si="582"/>
        <v>0.84553385521925983</v>
      </c>
      <c r="I234" s="96">
        <f t="shared" si="582"/>
        <v>0.83117396460099258</v>
      </c>
      <c r="J234" s="96">
        <f t="shared" si="582"/>
        <v>0.75443685969236596</v>
      </c>
      <c r="K234" s="96">
        <f t="shared" si="582"/>
        <v>0.64695009242144186</v>
      </c>
      <c r="L234" s="1026">
        <f t="shared" si="582"/>
        <v>3.0803964757709252</v>
      </c>
      <c r="M234" s="96">
        <f t="shared" si="582"/>
        <v>0.77058239207868573</v>
      </c>
      <c r="N234" s="96">
        <f t="shared" si="582"/>
        <v>0.74955613841573077</v>
      </c>
      <c r="O234" s="96">
        <f t="shared" si="582"/>
        <v>0.7793979151105771</v>
      </c>
      <c r="P234" s="96">
        <f t="shared" si="582"/>
        <v>0.78118421914322334</v>
      </c>
      <c r="Q234" s="1026">
        <f t="shared" si="582"/>
        <v>3.080762376146196</v>
      </c>
      <c r="R234" s="96">
        <f t="shared" si="582"/>
        <v>0.83745129715860489</v>
      </c>
      <c r="S234" s="96">
        <f t="shared" si="582"/>
        <v>0.82423019554650201</v>
      </c>
      <c r="T234" s="96">
        <f t="shared" si="582"/>
        <v>0.86710123072432754</v>
      </c>
      <c r="U234" s="96">
        <f t="shared" si="582"/>
        <v>0.71938052665005614</v>
      </c>
      <c r="V234" s="1026">
        <f t="shared" si="582"/>
        <v>3.249412327473117</v>
      </c>
      <c r="W234" s="96">
        <f t="shared" si="582"/>
        <v>0.83030373525313739</v>
      </c>
      <c r="X234" s="96">
        <f t="shared" si="582"/>
        <v>0.92525817081843398</v>
      </c>
      <c r="Y234" s="96">
        <f t="shared" si="582"/>
        <v>0.88705801233576853</v>
      </c>
      <c r="Z234" s="96">
        <f t="shared" si="582"/>
        <v>1.1074827865532604</v>
      </c>
      <c r="AA234" s="1026">
        <f t="shared" si="582"/>
        <v>3.7475246283809187</v>
      </c>
      <c r="AB234" s="96">
        <f t="shared" si="582"/>
        <v>1.0206008277072713</v>
      </c>
      <c r="AC234" s="96">
        <f t="shared" si="582"/>
        <v>1.0632457666233397</v>
      </c>
      <c r="AD234" s="96">
        <f t="shared" si="582"/>
        <v>1.0271089408991412</v>
      </c>
      <c r="AE234" s="96">
        <f t="shared" si="582"/>
        <v>1.0181635675196674</v>
      </c>
      <c r="AF234" s="1026">
        <f t="shared" si="582"/>
        <v>4.128316013683599</v>
      </c>
      <c r="AG234" s="96">
        <f t="shared" si="582"/>
        <v>1.1339128593921592</v>
      </c>
      <c r="AH234" s="96">
        <f t="shared" si="582"/>
        <v>1.1364106782542274</v>
      </c>
      <c r="AI234" s="96">
        <f t="shared" si="582"/>
        <v>1.1400270487549775</v>
      </c>
      <c r="AJ234" s="96">
        <f t="shared" si="582"/>
        <v>1.007508173291406</v>
      </c>
      <c r="AK234" s="1026">
        <f t="shared" si="582"/>
        <v>4.4197044598957707</v>
      </c>
      <c r="AL234" s="96">
        <f t="shared" si="582"/>
        <v>1.1999802065120577</v>
      </c>
      <c r="AM234" s="96">
        <f t="shared" si="582"/>
        <v>1.2726393651252355</v>
      </c>
      <c r="AN234" s="96">
        <f t="shared" si="583" ref="AN234:AQ234">(AN$227)/AN239</f>
        <v>1.3883576891339646</v>
      </c>
      <c r="AO234" s="96">
        <f t="shared" si="583"/>
        <v>1.0527676707977023</v>
      </c>
      <c r="AP234" s="1026">
        <f t="shared" si="583"/>
        <v>4.9162794334480138</v>
      </c>
      <c r="AQ234" s="96">
        <f t="shared" si="583"/>
        <v>1.5102465531693499</v>
      </c>
      <c r="AR234" s="96">
        <f t="shared" si="584" ref="AR234:AW234">(AR$227)/AR239</f>
        <v>1.5949010162721025</v>
      </c>
      <c r="AS234" s="96">
        <f t="shared" si="584"/>
        <v>1.5552330989321725</v>
      </c>
      <c r="AT234" s="96">
        <f t="shared" si="584"/>
        <v>1.3282778274204845</v>
      </c>
      <c r="AU234" s="1026">
        <f t="shared" si="584"/>
        <v>5.9950142523816767</v>
      </c>
      <c r="AV234" s="96">
        <f t="shared" si="584"/>
        <v>1.4429550248381271</v>
      </c>
      <c r="AW234" s="96">
        <f t="shared" si="584"/>
        <v>1.4706728250443455</v>
      </c>
      <c r="AX234" s="96">
        <f t="shared" si="585" ref="AX234:BC234">(AX$227)/AX239</f>
        <v>1.4399964553933404</v>
      </c>
      <c r="AY234" s="96">
        <f t="shared" si="585"/>
        <v>1.3114090986430045</v>
      </c>
      <c r="AZ234" s="1026">
        <f t="shared" si="585"/>
        <v>5.6660733468725253</v>
      </c>
      <c r="BA234" s="96">
        <f t="shared" si="585"/>
        <v>1.6190243505171429</v>
      </c>
      <c r="BB234" s="96">
        <f t="shared" si="585"/>
        <v>1.6220815386222922</v>
      </c>
      <c r="BC234" s="96">
        <f t="shared" si="585"/>
        <v>1.9002823469160843</v>
      </c>
      <c r="BD234" s="96">
        <f t="shared" si="586" ref="BD234:BE234">(BD$227)/BD239</f>
        <v>1.2754731304316604</v>
      </c>
      <c r="BE234" s="1026">
        <f t="shared" si="586"/>
        <v>6.4251058463953772</v>
      </c>
      <c r="BF234" s="96">
        <f>(BF$227)/BF239</f>
        <v>1.7403139838124826</v>
      </c>
      <c r="BG234" s="96">
        <f>(BG$227)/BG239</f>
        <v>1.8911928981472661</v>
      </c>
      <c r="BH234" s="826">
        <f>(BH$227)/BH239</f>
        <v>2.1894527973962106</v>
      </c>
      <c r="BI234" s="57">
        <f ca="1">BI227/BI239</f>
        <v>1.4788529144529106</v>
      </c>
      <c r="BJ234" s="1027">
        <f ca="1" t="shared" si="587" ref="BJ234">BJ227/BJ239</f>
        <v>7.2928763380383463</v>
      </c>
      <c r="BK234" s="57">
        <f ca="1" t="shared" si="588" ref="BK234:BR234">BK227/BK239</f>
        <v>1.7011826512814823</v>
      </c>
      <c r="BL234" s="57">
        <f t="shared" ca="1" si="588"/>
        <v>1.7094121860806362</v>
      </c>
      <c r="BM234" s="57">
        <f t="shared" ca="1" si="588"/>
        <v>1.6650696458781733</v>
      </c>
      <c r="BN234" s="57">
        <f t="shared" ca="1" si="588"/>
        <v>1.8348838741216424</v>
      </c>
      <c r="BO234" s="1027">
        <f t="shared" ca="1" si="588"/>
        <v>6.910548357361936</v>
      </c>
      <c r="BP234" s="1027">
        <f t="shared" ca="1" si="588"/>
        <v>7.3323565068405925</v>
      </c>
      <c r="BQ234" s="1027">
        <f t="shared" ca="1" si="588"/>
        <v>7.2326631319401464</v>
      </c>
      <c r="BR234" s="1027">
        <f t="shared" ca="1" si="588"/>
        <v>5.4631779614220077</v>
      </c>
      <c r="BS234" s="96"/>
    </row>
    <row r="235" spans="1:71" s="53" customFormat="1" ht="15">
      <c r="A235" s="166" t="str">
        <f>CONCATENATE("Consensus Estimates - ",IFERROR(LEFT(A234,FIND("(",A234)-1),A234))</f>
        <v>Consensus Estimates - Adjusted Earnings Per Share - WAD</v>
      </c>
      <c r="B235" s="180"/>
      <c r="C235" s="1028"/>
      <c r="D235" s="1028"/>
      <c r="E235" s="1028"/>
      <c r="F235" s="1028"/>
      <c r="G235" s="1028"/>
      <c r="H235" s="168"/>
      <c r="I235" s="168"/>
      <c r="J235" s="168"/>
      <c r="K235" s="168"/>
      <c r="L235" s="1028"/>
      <c r="M235" s="168"/>
      <c r="N235" s="168"/>
      <c r="O235" s="168"/>
      <c r="P235" s="168"/>
      <c r="Q235" s="1028"/>
      <c r="R235" s="168"/>
      <c r="S235" s="169"/>
      <c r="T235" s="168"/>
      <c r="U235" s="168"/>
      <c r="V235" s="1028"/>
      <c r="W235" s="168"/>
      <c r="X235" s="169"/>
      <c r="Y235" s="168"/>
      <c r="Z235" s="168"/>
      <c r="AA235" s="1028"/>
      <c r="AB235" s="168"/>
      <c r="AC235" s="169"/>
      <c r="AD235" s="168"/>
      <c r="AE235" s="168"/>
      <c r="AF235" s="1028"/>
      <c r="AG235" s="168"/>
      <c r="AH235" s="169"/>
      <c r="AI235" s="168"/>
      <c r="AJ235" s="168"/>
      <c r="AK235" s="1028"/>
      <c r="AL235" s="168"/>
      <c r="AM235" s="169"/>
      <c r="AN235" s="168"/>
      <c r="AO235" s="168"/>
      <c r="AP235" s="1028"/>
      <c r="AQ235" s="168"/>
      <c r="AR235" s="169"/>
      <c r="AS235" s="168"/>
      <c r="AT235" s="168"/>
      <c r="AU235" s="1028"/>
      <c r="AV235" s="168"/>
      <c r="AW235" s="169"/>
      <c r="AX235" s="168"/>
      <c r="AY235" s="168"/>
      <c r="AZ235" s="1028"/>
      <c r="BA235" s="168"/>
      <c r="BB235" s="169"/>
      <c r="BC235" s="168"/>
      <c r="BD235" s="168"/>
      <c r="BE235" s="1028"/>
      <c r="BF235" s="168"/>
      <c r="BG235" s="169"/>
      <c r="BH235" s="804"/>
      <c r="BI235" s="788" t="str">
        <f ca="1" t="shared" si="589" ref="BI235:BO235">IFERROR(VLOOKUP($A235,tb_ConsensusEstimate,MATCH(BI$5,OFFSET(tb_ConsensusEstimate,0,0,1,COLUMNS(tb_ConsensusEstimate)),0),FALSE),"-")</f>
        <v>N/A</v>
      </c>
      <c r="BJ235" s="1029" t="str">
        <f t="shared" ca="1" si="589"/>
        <v>N/A</v>
      </c>
      <c r="BK235" s="788" t="str">
        <f t="shared" ca="1" si="589"/>
        <v>N/A</v>
      </c>
      <c r="BL235" s="788" t="str">
        <f t="shared" ca="1" si="589"/>
        <v>N/A</v>
      </c>
      <c r="BM235" s="788" t="str">
        <f t="shared" ca="1" si="589"/>
        <v>N/A</v>
      </c>
      <c r="BN235" s="788" t="str">
        <f t="shared" ca="1" si="589"/>
        <v>N/A</v>
      </c>
      <c r="BO235" s="1029" t="str">
        <f t="shared" ca="1" si="589"/>
        <v>N/A</v>
      </c>
      <c r="BP235" s="1029" t="str">
        <f ca="1">IFERROR(VLOOKUP($A235,tb_ConsensusEstimate,MATCH(BP5,OFFSET(tb_ConsensusEstimate,0,0,1,COLUMNS(tb_ConsensusEstimate)),0),FALSE),"-")</f>
        <v>N/A</v>
      </c>
      <c r="BQ235" s="1029" t="str">
        <f ca="1">IFERROR(VLOOKUP($A235,tb_ConsensusEstimate,MATCH(BQ5,OFFSET(tb_ConsensusEstimate,0,0,1,COLUMNS(tb_ConsensusEstimate)),0),FALSE),"-")</f>
        <v>N/A</v>
      </c>
      <c r="BR235" s="1029" t="str">
        <f ca="1">IFERROR(VLOOKUP($A235,tb_ConsensusEstimate,MATCH(BR5,OFFSET(tb_ConsensusEstimate,0,0,1,COLUMNS(tb_ConsensusEstimate)),0),FALSE),"-")</f>
        <v>N/A</v>
      </c>
      <c r="BS235" s="168"/>
    </row>
    <row r="236" spans="1:71" s="223" customFormat="1" ht="15">
      <c r="A236" s="814"/>
      <c r="B236" s="500"/>
      <c r="C236" s="999"/>
      <c r="D236" s="999"/>
      <c r="E236" s="999"/>
      <c r="F236" s="999"/>
      <c r="G236" s="999"/>
      <c r="H236" s="832"/>
      <c r="I236" s="832"/>
      <c r="J236" s="832"/>
      <c r="K236" s="832"/>
      <c r="L236" s="999"/>
      <c r="M236" s="832"/>
      <c r="N236" s="832"/>
      <c r="O236" s="832"/>
      <c r="P236" s="832"/>
      <c r="Q236" s="999"/>
      <c r="R236" s="832"/>
      <c r="S236" s="832"/>
      <c r="T236" s="832"/>
      <c r="U236" s="832"/>
      <c r="V236" s="999"/>
      <c r="W236" s="832"/>
      <c r="X236" s="832"/>
      <c r="Y236" s="841"/>
      <c r="Z236" s="832"/>
      <c r="AA236" s="1030"/>
      <c r="AB236" s="832"/>
      <c r="AC236" s="832"/>
      <c r="AD236" s="832"/>
      <c r="AE236" s="832"/>
      <c r="AF236" s="1030"/>
      <c r="AG236" s="832"/>
      <c r="AH236" s="832"/>
      <c r="AI236" s="832"/>
      <c r="AJ236" s="832"/>
      <c r="AK236" s="1030"/>
      <c r="AL236" s="832"/>
      <c r="AM236" s="832"/>
      <c r="AN236" s="832"/>
      <c r="AO236" s="832"/>
      <c r="AP236" s="1030"/>
      <c r="AQ236" s="832"/>
      <c r="AR236" s="832"/>
      <c r="AS236" s="832"/>
      <c r="AT236" s="832"/>
      <c r="AU236" s="1030"/>
      <c r="AV236" s="832"/>
      <c r="AW236" s="832"/>
      <c r="AX236" s="832"/>
      <c r="AY236" s="832"/>
      <c r="AZ236" s="1030"/>
      <c r="BA236" s="832"/>
      <c r="BB236" s="832"/>
      <c r="BC236" s="832"/>
      <c r="BD236" s="832"/>
      <c r="BE236" s="1030"/>
      <c r="BF236" s="832"/>
      <c r="BG236" s="832"/>
      <c r="BH236" s="833"/>
      <c r="BI236" s="832"/>
      <c r="BJ236" s="999"/>
      <c r="BK236" s="832"/>
      <c r="BL236" s="832"/>
      <c r="BM236" s="832"/>
      <c r="BN236" s="832"/>
      <c r="BO236" s="999"/>
      <c r="BP236" s="999"/>
      <c r="BQ236" s="999"/>
      <c r="BR236" s="999"/>
      <c r="BS236" s="816"/>
    </row>
    <row r="237" spans="1:71" s="223" customFormat="1" ht="15">
      <c r="A237" s="816" t="s">
        <v>85</v>
      </c>
      <c r="B237" s="500"/>
      <c r="C237" s="1031">
        <f>2*466.552</f>
        <v>933.10400000000004</v>
      </c>
      <c r="D237" s="1031">
        <f>2*469.038</f>
        <v>938.07600000000002</v>
      </c>
      <c r="E237" s="1031">
        <f>2*466.519</f>
        <v>933.03800000000001</v>
      </c>
      <c r="F237" s="1031">
        <f>2*466.868</f>
        <v>933.73599999999999</v>
      </c>
      <c r="G237" s="1031">
        <f>2*464.502</f>
        <v>929.00400000000002</v>
      </c>
      <c r="H237" s="923">
        <f>2*454.731</f>
        <v>909.46199999999999</v>
      </c>
      <c r="I237" s="923">
        <f>2*452.559</f>
        <v>905.11800000000005</v>
      </c>
      <c r="J237" s="923">
        <f>2*451.246</f>
        <v>902.49199999999996</v>
      </c>
      <c r="K237" s="923">
        <f>2*446.37</f>
        <v>892.74</v>
      </c>
      <c r="L237" s="1031">
        <f>2*451.204</f>
        <v>902.40800000000002</v>
      </c>
      <c r="M237" s="923">
        <f>2*437.306</f>
        <v>874.61199999999997</v>
      </c>
      <c r="N237" s="923">
        <f>2*431.672</f>
        <v>863.34400000000005</v>
      </c>
      <c r="O237" s="923">
        <f>2*428.735</f>
        <v>857.47</v>
      </c>
      <c r="P237" s="923">
        <f>2*425.056</f>
        <v>850.11199999999997</v>
      </c>
      <c r="Q237" s="1031">
        <f>2*430.654</f>
        <v>861.30799999999999</v>
      </c>
      <c r="R237" s="923">
        <f>2*418.748</f>
        <v>837.49599999999998</v>
      </c>
      <c r="S237" s="923">
        <f>2*411.853</f>
        <v>823.70600000000002</v>
      </c>
      <c r="T237" s="923">
        <f>2*408.519</f>
        <v>817.03800000000001</v>
      </c>
      <c r="U237" s="923">
        <f>2*406.847</f>
        <v>813.69399999999996</v>
      </c>
      <c r="V237" s="1031">
        <f>2*411.471</f>
        <v>822.94200000000001</v>
      </c>
      <c r="W237" s="923">
        <f>2*401.13</f>
        <v>802.26</v>
      </c>
      <c r="X237" s="923">
        <f>2*396.433</f>
        <v>792.86599999999999</v>
      </c>
      <c r="Y237" s="923">
        <f>2*394.479</f>
        <v>788.95799999999997</v>
      </c>
      <c r="Z237" s="923">
        <f>2*392.159</f>
        <v>784.31799999999998</v>
      </c>
      <c r="AA237" s="1031">
        <f>2*396.021</f>
        <v>792.04200000000003</v>
      </c>
      <c r="AB237" s="923">
        <v>778.55</v>
      </c>
      <c r="AC237" s="923">
        <v>772.94899999999996</v>
      </c>
      <c r="AD237" s="923">
        <v>767.04899999999998</v>
      </c>
      <c r="AE237" s="923">
        <v>760.03700000000003</v>
      </c>
      <c r="AF237" s="1031">
        <v>769.58799999999997</v>
      </c>
      <c r="AG237" s="923">
        <v>751.423</v>
      </c>
      <c r="AH237" s="923">
        <v>745.15300000000002</v>
      </c>
      <c r="AI237" s="923">
        <v>739.94600000000003</v>
      </c>
      <c r="AJ237" s="923">
        <v>733.35799999999995</v>
      </c>
      <c r="AK237" s="1031">
        <v>742.41399999999999</v>
      </c>
      <c r="AL237" s="923">
        <v>724.36599999999999</v>
      </c>
      <c r="AM237" s="923">
        <v>717.88900000000001</v>
      </c>
      <c r="AN237" s="923">
        <v>711.69799999999998</v>
      </c>
      <c r="AO237" s="923">
        <v>701.01599999999996</v>
      </c>
      <c r="AP237" s="1031">
        <v>713.702</v>
      </c>
      <c r="AQ237" s="923">
        <v>688.93799999999999</v>
      </c>
      <c r="AR237" s="923">
        <v>678.05</v>
      </c>
      <c r="AS237" s="923">
        <v>668.76199999999994</v>
      </c>
      <c r="AT237" s="923">
        <v>659.10</v>
      </c>
      <c r="AU237" s="1031">
        <v>673.61699999999996</v>
      </c>
      <c r="AV237" s="923">
        <v>649.75300000000004</v>
      </c>
      <c r="AW237" s="923">
        <v>640.70699999999999</v>
      </c>
      <c r="AX237" s="923">
        <v>629.35</v>
      </c>
      <c r="AY237" s="923">
        <v>619.845</v>
      </c>
      <c r="AZ237" s="1031">
        <v>634.81600000000003</v>
      </c>
      <c r="BA237" s="923">
        <v>611.20500000000004</v>
      </c>
      <c r="BB237" s="923">
        <v>600.74199999999996</v>
      </c>
      <c r="BC237" s="923">
        <v>591.24599999999998</v>
      </c>
      <c r="BD237" s="923">
        <v>581.87599999999998</v>
      </c>
      <c r="BE237" s="1031">
        <v>596.173</v>
      </c>
      <c r="BF237" s="923">
        <v>574.88599999999997</v>
      </c>
      <c r="BG237" s="923">
        <v>564.57299999999998</v>
      </c>
      <c r="BH237" s="924">
        <v>557.899</v>
      </c>
      <c r="BI237" s="832">
        <f ca="1">AVERAGE(BH242,BI242)</f>
        <v>556.71699999999998</v>
      </c>
      <c r="BJ237" s="999">
        <f ca="1">SUM(BF237*BF3,BG237*BG3,BH237*BH3,BI237*BI3)/BJ3</f>
        <v>563.48481147540986</v>
      </c>
      <c r="BK237" s="832">
        <f ca="1">AVERAGE(BJ242,BK242)</f>
        <v>556.71699999999998</v>
      </c>
      <c r="BL237" s="832">
        <f ca="1">AVERAGE(BK242,BL242)</f>
        <v>556.71699999999998</v>
      </c>
      <c r="BM237" s="832">
        <f ca="1">AVERAGE(BL242,BM242)</f>
        <v>556.71699999999998</v>
      </c>
      <c r="BN237" s="832">
        <f ca="1">AVERAGE(BM242,BN242)</f>
        <v>556.71699999999998</v>
      </c>
      <c r="BO237" s="999">
        <f ca="1">SUM(BK237*BK3,BL237*BL3,BM237*BM3,BN237*BN3)/BO3</f>
        <v>556.7170000000001</v>
      </c>
      <c r="BP237" s="999">
        <f ca="1">AVERAGE(BO242,BP242)</f>
        <v>556.71699999999998</v>
      </c>
      <c r="BQ237" s="999">
        <f ca="1">AVERAGE(BP242,BQ242)</f>
        <v>556.71699999999998</v>
      </c>
      <c r="BR237" s="999">
        <f ca="1">AVERAGE(BQ242,BR242)</f>
        <v>556.71699999999998</v>
      </c>
      <c r="BS237" s="816"/>
    </row>
    <row r="238" spans="1:71" s="223" customFormat="1" ht="15">
      <c r="A238" s="816" t="s">
        <v>86</v>
      </c>
      <c r="B238" s="500"/>
      <c r="C238" s="1031">
        <f>2*469.063</f>
        <v>938.12599999999998</v>
      </c>
      <c r="D238" s="1031">
        <f>2*473.085</f>
        <v>946.17</v>
      </c>
      <c r="E238" s="1031">
        <f>2*469.37</f>
        <v>938.74</v>
      </c>
      <c r="F238" s="1031">
        <f>2*469.287</f>
        <v>938.57399999999996</v>
      </c>
      <c r="G238" s="1031">
        <f>2*467.408</f>
        <v>934.81600000000003</v>
      </c>
      <c r="H238" s="923">
        <f>2*457.699</f>
        <v>915.39800000000002</v>
      </c>
      <c r="I238" s="923">
        <f>2*455.38</f>
        <v>910.76</v>
      </c>
      <c r="J238" s="923">
        <f>2*453.981</f>
        <v>907.96199999999999</v>
      </c>
      <c r="K238" s="923">
        <f>2*449.03</f>
        <v>898.06</v>
      </c>
      <c r="L238" s="1031">
        <f>2*454</f>
        <v>908</v>
      </c>
      <c r="M238" s="923">
        <f>2*439.927</f>
        <v>879.85400000000004</v>
      </c>
      <c r="N238" s="923">
        <f>2*434.257</f>
        <v>868.51400000000001</v>
      </c>
      <c r="O238" s="923">
        <f>2*431.102</f>
        <v>862.20399999999995</v>
      </c>
      <c r="P238" s="923">
        <f>2*427.556</f>
        <v>855.11199999999997</v>
      </c>
      <c r="Q238" s="1031">
        <f>2*433.172</f>
        <v>866.34400000000005</v>
      </c>
      <c r="R238" s="923">
        <f>2*420.92</f>
        <v>841.84</v>
      </c>
      <c r="S238" s="923">
        <f>2*414.326</f>
        <v>828.65200000000004</v>
      </c>
      <c r="T238" s="923">
        <f>2*411.14</f>
        <v>822.28</v>
      </c>
      <c r="U238" s="923">
        <f>2*409.38</f>
        <v>818.76</v>
      </c>
      <c r="V238" s="1031">
        <f>2*413.921</f>
        <v>827.84199999999998</v>
      </c>
      <c r="W238" s="923">
        <f>2*404.069</f>
        <v>808.13800000000003</v>
      </c>
      <c r="X238" s="923">
        <f>2*399.348</f>
        <v>798.69600000000003</v>
      </c>
      <c r="Y238" s="923">
        <f>2*397.381</f>
        <v>794.76199999999994</v>
      </c>
      <c r="Z238" s="923">
        <f>2*395.04</f>
        <v>790.08</v>
      </c>
      <c r="AA238" s="1031">
        <f>2*398.93</f>
        <v>797.86</v>
      </c>
      <c r="AB238" s="923">
        <v>783.85199999999998</v>
      </c>
      <c r="AC238" s="923">
        <v>777.80700000000002</v>
      </c>
      <c r="AD238" s="923">
        <v>772.07</v>
      </c>
      <c r="AE238" s="923">
        <v>765.10299999999995</v>
      </c>
      <c r="AF238" s="1031">
        <v>774.65</v>
      </c>
      <c r="AG238" s="923">
        <v>755.79</v>
      </c>
      <c r="AH238" s="923">
        <v>748.84900000000005</v>
      </c>
      <c r="AI238" s="923">
        <v>743.84199999999998</v>
      </c>
      <c r="AJ238" s="923">
        <v>737.46299999999997</v>
      </c>
      <c r="AK238" s="1031">
        <v>746.43</v>
      </c>
      <c r="AL238" s="923">
        <v>727.51199999999994</v>
      </c>
      <c r="AM238" s="923">
        <v>719.76400000000001</v>
      </c>
      <c r="AN238" s="923">
        <v>713.79300000000001</v>
      </c>
      <c r="AO238" s="923">
        <v>703.85900000000004</v>
      </c>
      <c r="AP238" s="1031">
        <v>716.19200000000001</v>
      </c>
      <c r="AQ238" s="923">
        <v>691.94</v>
      </c>
      <c r="AR238" s="923">
        <v>680.92</v>
      </c>
      <c r="AS238" s="923">
        <v>671.925</v>
      </c>
      <c r="AT238" s="923">
        <v>662.51199999999994</v>
      </c>
      <c r="AU238" s="1031">
        <v>676.72900000000004</v>
      </c>
      <c r="AV238" s="923">
        <v>652.827</v>
      </c>
      <c r="AW238" s="923">
        <v>643.24300000000005</v>
      </c>
      <c r="AX238" s="923">
        <v>631.94600000000003</v>
      </c>
      <c r="AY238" s="923">
        <v>622.99400000000003</v>
      </c>
      <c r="AZ238" s="1031">
        <v>637.655</v>
      </c>
      <c r="BA238" s="923">
        <v>613.95000000000005</v>
      </c>
      <c r="BB238" s="923">
        <v>602.92899999999997</v>
      </c>
      <c r="BC238" s="923">
        <v>593.596</v>
      </c>
      <c r="BD238" s="923">
        <v>584.88099999999997</v>
      </c>
      <c r="BE238" s="1031">
        <v>598.745</v>
      </c>
      <c r="BF238" s="923">
        <v>577.48199999999997</v>
      </c>
      <c r="BG238" s="923">
        <v>566.83799999999997</v>
      </c>
      <c r="BH238" s="924">
        <v>560.41399999999999</v>
      </c>
      <c r="BI238" s="832">
        <f ca="1">IF(BI224&lt;0,BI237,AVERAGE(BH256,BI256))</f>
        <v>558.9629339999999</v>
      </c>
      <c r="BJ238" s="999">
        <f ca="1">IF(BJ224&lt;0,BJ237,SUM(AVERAGE(BE256,BF256)*BF3,AVERAGE(BF256,BG256)*BG3,AVERAGE(BG256,BH256)*BH3,AVERAGE(BH256,BI256)*BI3)/BJ3)</f>
        <v>566.39160909289615</v>
      </c>
      <c r="BK238" s="832">
        <f ca="1">IF(BK224&lt;0,BK237,AVERAGE(BJ256,BK256))</f>
        <v>558.94386799999995</v>
      </c>
      <c r="BL238" s="832">
        <f ca="1">IF(BL224&lt;0,BL237,AVERAGE(BK256,BL256))</f>
        <v>558.94386799999995</v>
      </c>
      <c r="BM238" s="832">
        <f ca="1">IF(BM224&lt;0,BM237,AVERAGE(BL256,BM256))</f>
        <v>558.94386799999995</v>
      </c>
      <c r="BN238" s="832">
        <f ca="1">IF(BN224&lt;0,BN237,AVERAGE(BM256,BN256))</f>
        <v>558.94386799999995</v>
      </c>
      <c r="BO238" s="999">
        <f ca="1">IF(BO224&lt;0,BO237,SUM(AVERAGE(BJ256,BK256)*BK3,AVERAGE(BK256,BL256)*BL3,AVERAGE(BL256,BM256)*BM3,AVERAGE(BM256,BN256)*BN3)/BO3)</f>
        <v>558.94386799999995</v>
      </c>
      <c r="BP238" s="999">
        <f ca="1">IF(BP224&lt;0,BP237,AVERAGE(BO256,BP256))</f>
        <v>558.94386799999995</v>
      </c>
      <c r="BQ238" s="999">
        <f ca="1">IF(BQ224&lt;0,BQ237,AVERAGE(BP256,BQ256))</f>
        <v>558.94386799999995</v>
      </c>
      <c r="BR238" s="999">
        <f ca="1">IF(BR224&lt;0,BR237,AVERAGE(BQ256,BR256))</f>
        <v>558.94386799999995</v>
      </c>
      <c r="BS238" s="816"/>
    </row>
    <row r="239" spans="1:71" s="223" customFormat="1" ht="15">
      <c r="A239" s="816" t="s">
        <v>87</v>
      </c>
      <c r="B239" s="500"/>
      <c r="C239" s="1032">
        <f t="shared" si="590" ref="C239:AN239">+C238</f>
        <v>938.12599999999998</v>
      </c>
      <c r="D239" s="1032">
        <f t="shared" si="590"/>
        <v>946.17</v>
      </c>
      <c r="E239" s="1032">
        <f t="shared" si="590"/>
        <v>938.74</v>
      </c>
      <c r="F239" s="1032">
        <f t="shared" si="590"/>
        <v>938.57399999999996</v>
      </c>
      <c r="G239" s="1032">
        <f t="shared" si="590"/>
        <v>934.81600000000003</v>
      </c>
      <c r="H239" s="844">
        <f t="shared" si="590"/>
        <v>915.39800000000002</v>
      </c>
      <c r="I239" s="844">
        <f t="shared" si="590"/>
        <v>910.76</v>
      </c>
      <c r="J239" s="844">
        <f t="shared" si="590"/>
        <v>907.96199999999999</v>
      </c>
      <c r="K239" s="844">
        <f t="shared" si="590"/>
        <v>898.06</v>
      </c>
      <c r="L239" s="1032">
        <f t="shared" si="590"/>
        <v>908</v>
      </c>
      <c r="M239" s="844">
        <f t="shared" si="590"/>
        <v>879.85400000000004</v>
      </c>
      <c r="N239" s="844">
        <f t="shared" si="590"/>
        <v>868.51400000000001</v>
      </c>
      <c r="O239" s="844">
        <f t="shared" si="590"/>
        <v>862.20399999999995</v>
      </c>
      <c r="P239" s="844">
        <f t="shared" si="590"/>
        <v>855.11199999999997</v>
      </c>
      <c r="Q239" s="1032">
        <f t="shared" si="590"/>
        <v>866.34400000000005</v>
      </c>
      <c r="R239" s="844">
        <f t="shared" si="590"/>
        <v>841.84</v>
      </c>
      <c r="S239" s="844">
        <f t="shared" si="590"/>
        <v>828.65200000000004</v>
      </c>
      <c r="T239" s="844">
        <f t="shared" si="590"/>
        <v>822.28</v>
      </c>
      <c r="U239" s="844">
        <f t="shared" si="590"/>
        <v>818.76</v>
      </c>
      <c r="V239" s="1032">
        <f t="shared" si="590"/>
        <v>827.84199999999998</v>
      </c>
      <c r="W239" s="844">
        <f t="shared" si="590"/>
        <v>808.13800000000003</v>
      </c>
      <c r="X239" s="844">
        <f t="shared" si="590"/>
        <v>798.69600000000003</v>
      </c>
      <c r="Y239" s="844">
        <f t="shared" si="590"/>
        <v>794.76199999999994</v>
      </c>
      <c r="Z239" s="844">
        <f t="shared" si="590"/>
        <v>790.08</v>
      </c>
      <c r="AA239" s="1032">
        <f t="shared" si="590"/>
        <v>797.86</v>
      </c>
      <c r="AB239" s="844">
        <f t="shared" si="590"/>
        <v>783.85199999999998</v>
      </c>
      <c r="AC239" s="844">
        <f t="shared" si="590"/>
        <v>777.80700000000002</v>
      </c>
      <c r="AD239" s="844">
        <f t="shared" si="590"/>
        <v>772.07</v>
      </c>
      <c r="AE239" s="844">
        <f t="shared" si="590"/>
        <v>765.10299999999995</v>
      </c>
      <c r="AF239" s="1032">
        <f t="shared" si="590"/>
        <v>774.65</v>
      </c>
      <c r="AG239" s="844">
        <f t="shared" si="590"/>
        <v>755.79</v>
      </c>
      <c r="AH239" s="844">
        <f t="shared" si="590"/>
        <v>748.84900000000005</v>
      </c>
      <c r="AI239" s="844">
        <f t="shared" si="590"/>
        <v>743.84199999999998</v>
      </c>
      <c r="AJ239" s="844">
        <f t="shared" si="590"/>
        <v>737.46299999999997</v>
      </c>
      <c r="AK239" s="1032">
        <f t="shared" si="590"/>
        <v>746.43</v>
      </c>
      <c r="AL239" s="844">
        <f t="shared" si="590"/>
        <v>727.51199999999994</v>
      </c>
      <c r="AM239" s="844">
        <f t="shared" si="590"/>
        <v>719.76400000000001</v>
      </c>
      <c r="AN239" s="844">
        <f t="shared" si="590"/>
        <v>713.79300000000001</v>
      </c>
      <c r="AO239" s="844">
        <f t="shared" si="591" ref="AO239:AQ239">+AO238</f>
        <v>703.85900000000004</v>
      </c>
      <c r="AP239" s="1032">
        <f t="shared" si="591"/>
        <v>716.19200000000001</v>
      </c>
      <c r="AQ239" s="844">
        <f t="shared" si="591"/>
        <v>691.94</v>
      </c>
      <c r="AR239" s="844">
        <f t="shared" si="592" ref="AR239:AW239">+AR238</f>
        <v>680.92</v>
      </c>
      <c r="AS239" s="844">
        <f t="shared" si="592"/>
        <v>671.925</v>
      </c>
      <c r="AT239" s="844">
        <f t="shared" si="592"/>
        <v>662.51199999999994</v>
      </c>
      <c r="AU239" s="1032">
        <f t="shared" si="592"/>
        <v>676.72900000000004</v>
      </c>
      <c r="AV239" s="844">
        <f t="shared" si="592"/>
        <v>652.827</v>
      </c>
      <c r="AW239" s="844">
        <f t="shared" si="592"/>
        <v>643.24300000000005</v>
      </c>
      <c r="AX239" s="844">
        <f t="shared" si="593" ref="AX239:BC239">+AX238</f>
        <v>631.94600000000003</v>
      </c>
      <c r="AY239" s="844">
        <f t="shared" si="593"/>
        <v>622.99400000000003</v>
      </c>
      <c r="AZ239" s="1032">
        <f t="shared" si="593"/>
        <v>637.655</v>
      </c>
      <c r="BA239" s="844">
        <f t="shared" si="593"/>
        <v>613.95000000000005</v>
      </c>
      <c r="BB239" s="844">
        <f t="shared" si="593"/>
        <v>602.92899999999997</v>
      </c>
      <c r="BC239" s="844">
        <f t="shared" si="593"/>
        <v>593.596</v>
      </c>
      <c r="BD239" s="844">
        <f>+BD238</f>
        <v>584.88099999999997</v>
      </c>
      <c r="BE239" s="1032">
        <f>+BE238</f>
        <v>598.745</v>
      </c>
      <c r="BF239" s="844">
        <f>+BF238</f>
        <v>577.48199999999997</v>
      </c>
      <c r="BG239" s="844">
        <f>+BG238</f>
        <v>566.83799999999997</v>
      </c>
      <c r="BH239" s="845">
        <f>+BH238</f>
        <v>560.41399999999999</v>
      </c>
      <c r="BI239" s="832">
        <f ca="1">IF(BI227&lt;0,BI237,AVERAGE(BH256,BI256))</f>
        <v>558.9629339999999</v>
      </c>
      <c r="BJ239" s="999">
        <f ca="1">IF(BJ227&lt;0,BJ237,SUM(AVERAGE(BE256,BF256)*BF3,AVERAGE(BF256,BG256)*BG3,AVERAGE(BG256,BH256)*BH3,AVERAGE(BH256,BI256)*BI3)/BJ3)</f>
        <v>566.39160909289615</v>
      </c>
      <c r="BK239" s="832">
        <f ca="1">IF(BK227&lt;0,BK237,AVERAGE(BJ256,BK256))</f>
        <v>558.94386799999995</v>
      </c>
      <c r="BL239" s="832">
        <f ca="1">IF(BL227&lt;0,BL237,AVERAGE(BK256,BL256))</f>
        <v>558.94386799999995</v>
      </c>
      <c r="BM239" s="832">
        <f ca="1">IF(BM227&lt;0,BM237,AVERAGE(BL256,BM256))</f>
        <v>558.94386799999995</v>
      </c>
      <c r="BN239" s="832">
        <f ca="1">IF(BN227&lt;0,BN237,AVERAGE(BM256,BN256))</f>
        <v>558.94386799999995</v>
      </c>
      <c r="BO239" s="999">
        <f ca="1">IF(BO227&lt;0,BO237,SUM(AVERAGE(BJ256,BK256)*BK3,AVERAGE(BK256,BL256)*BL3,AVERAGE(BL256,BM256)*BM3,AVERAGE(BM256,BN256)*BN3)/BO3)</f>
        <v>558.94386799999995</v>
      </c>
      <c r="BP239" s="999">
        <f ca="1">IF(BP227&lt;0,BP237,AVERAGE(BO256,BP256))</f>
        <v>558.94386799999995</v>
      </c>
      <c r="BQ239" s="999">
        <f ca="1">IF(BQ227&lt;0,BQ237,AVERAGE(BP256,BQ256))</f>
        <v>558.94386799999995</v>
      </c>
      <c r="BR239" s="999">
        <f ca="1">IF(BR227&lt;0,BR237,AVERAGE(BQ256,BR256))</f>
        <v>558.94386799999995</v>
      </c>
      <c r="BS239" s="816"/>
    </row>
    <row r="240" spans="1:71" s="223" customFormat="1" ht="15">
      <c r="A240" s="598"/>
      <c r="B240" s="500"/>
      <c r="C240" s="999"/>
      <c r="D240" s="999"/>
      <c r="E240" s="999"/>
      <c r="F240" s="999"/>
      <c r="G240" s="999"/>
      <c r="H240" s="832"/>
      <c r="I240" s="832"/>
      <c r="J240" s="832"/>
      <c r="K240" s="832"/>
      <c r="L240" s="999"/>
      <c r="M240" s="832"/>
      <c r="N240" s="832"/>
      <c r="O240" s="832"/>
      <c r="P240" s="832"/>
      <c r="Q240" s="999"/>
      <c r="R240" s="832"/>
      <c r="S240" s="832"/>
      <c r="T240" s="832"/>
      <c r="U240" s="832"/>
      <c r="V240" s="999"/>
      <c r="W240" s="832"/>
      <c r="X240" s="832"/>
      <c r="Y240" s="832"/>
      <c r="Z240" s="832"/>
      <c r="AA240" s="999"/>
      <c r="AB240" s="832"/>
      <c r="AC240" s="832"/>
      <c r="AD240" s="832"/>
      <c r="AE240" s="832"/>
      <c r="AF240" s="999"/>
      <c r="AG240" s="832"/>
      <c r="AH240" s="832"/>
      <c r="AI240" s="832"/>
      <c r="AJ240" s="832"/>
      <c r="AK240" s="999"/>
      <c r="AL240" s="832"/>
      <c r="AM240" s="832"/>
      <c r="AN240" s="832"/>
      <c r="AO240" s="832"/>
      <c r="AP240" s="999"/>
      <c r="AQ240" s="832"/>
      <c r="AR240" s="832"/>
      <c r="AS240" s="832"/>
      <c r="AT240" s="832"/>
      <c r="AU240" s="999"/>
      <c r="AV240" s="832"/>
      <c r="AW240" s="832"/>
      <c r="AX240" s="832"/>
      <c r="AY240" s="832"/>
      <c r="AZ240" s="999"/>
      <c r="BA240" s="832"/>
      <c r="BB240" s="832"/>
      <c r="BC240" s="832"/>
      <c r="BD240" s="832"/>
      <c r="BE240" s="999"/>
      <c r="BF240" s="832"/>
      <c r="BG240" s="832"/>
      <c r="BH240" s="833"/>
      <c r="BI240" s="832"/>
      <c r="BJ240" s="999"/>
      <c r="BK240" s="832"/>
      <c r="BL240" s="832"/>
      <c r="BM240" s="832"/>
      <c r="BN240" s="832"/>
      <c r="BO240" s="999"/>
      <c r="BP240" s="999"/>
      <c r="BQ240" s="999"/>
      <c r="BR240" s="999"/>
      <c r="BS240" s="816"/>
    </row>
    <row r="241" spans="1:71" s="223" customFormat="1" ht="15">
      <c r="A241" s="599" t="s">
        <v>432</v>
      </c>
      <c r="B241" s="600"/>
      <c r="C241" s="450"/>
      <c r="D241" s="450"/>
      <c r="E241" s="450"/>
      <c r="F241" s="450"/>
      <c r="G241" s="450"/>
      <c r="H241" s="450"/>
      <c r="I241" s="450"/>
      <c r="J241" s="450"/>
      <c r="K241" s="450"/>
      <c r="L241" s="450"/>
      <c r="M241" s="450"/>
      <c r="N241" s="450"/>
      <c r="O241" s="450"/>
      <c r="P241" s="450"/>
      <c r="Q241" s="450"/>
      <c r="R241" s="450"/>
      <c r="S241" s="450"/>
      <c r="T241" s="450"/>
      <c r="U241" s="450"/>
      <c r="V241" s="450"/>
      <c r="W241" s="450"/>
      <c r="X241" s="450"/>
      <c r="Y241" s="450"/>
      <c r="Z241" s="450"/>
      <c r="AA241" s="450"/>
      <c r="AB241" s="450"/>
      <c r="AC241" s="450"/>
      <c r="AD241" s="450"/>
      <c r="AE241" s="450"/>
      <c r="AF241" s="450"/>
      <c r="AG241" s="450"/>
      <c r="AH241" s="450"/>
      <c r="AI241" s="450"/>
      <c r="AJ241" s="450"/>
      <c r="AK241" s="450"/>
      <c r="AL241" s="450"/>
      <c r="AM241" s="450"/>
      <c r="AN241" s="450"/>
      <c r="AO241" s="450"/>
      <c r="AP241" s="450"/>
      <c r="AQ241" s="450"/>
      <c r="AR241" s="450"/>
      <c r="AS241" s="450"/>
      <c r="AT241" s="450"/>
      <c r="AU241" s="450"/>
      <c r="AV241" s="450"/>
      <c r="AW241" s="450"/>
      <c r="AX241" s="450"/>
      <c r="AY241" s="450"/>
      <c r="AZ241" s="450"/>
      <c r="BA241" s="450"/>
      <c r="BB241" s="450"/>
      <c r="BC241" s="450"/>
      <c r="BD241" s="450"/>
      <c r="BE241" s="450"/>
      <c r="BF241" s="450"/>
      <c r="BG241" s="450"/>
      <c r="BH241" s="553"/>
      <c r="BI241" s="450"/>
      <c r="BJ241" s="450"/>
      <c r="BK241" s="450"/>
      <c r="BL241" s="450"/>
      <c r="BM241" s="450"/>
      <c r="BN241" s="450"/>
      <c r="BO241" s="450"/>
      <c r="BP241" s="450"/>
      <c r="BQ241" s="450"/>
      <c r="BR241" s="450"/>
      <c r="BS241" s="816"/>
    </row>
    <row r="242" spans="1:71" s="223" customFormat="1" ht="15" customHeight="1" hidden="1" outlineLevel="1">
      <c r="A242" s="816" t="s">
        <v>470</v>
      </c>
      <c r="B242" s="500"/>
      <c r="C242" s="1031">
        <f>2*468.568</f>
        <v>937.13599999999997</v>
      </c>
      <c r="D242" s="1031">
        <f>2*469.661</f>
        <v>939.322</v>
      </c>
      <c r="E242" s="1031">
        <f>2*466.31</f>
        <v>932.62</v>
      </c>
      <c r="F242" s="1031">
        <f>2*467.786</f>
        <v>935.572</v>
      </c>
      <c r="G242" s="1031">
        <f>2*459.413</f>
        <v>918.82600000000002</v>
      </c>
      <c r="H242" s="923">
        <f>2*454.028</f>
        <v>908.05600000000004</v>
      </c>
      <c r="I242" s="923">
        <f>2*452.95</f>
        <v>905.90</v>
      </c>
      <c r="J242" s="923">
        <f>2*450.499</f>
        <v>900.99800000000005</v>
      </c>
      <c r="K242" s="844">
        <f>L242</f>
        <v>884.89</v>
      </c>
      <c r="L242" s="1031">
        <f>2*442.445</f>
        <v>884.89</v>
      </c>
      <c r="M242" s="923">
        <f>2*433.771</f>
        <v>867.54200000000003</v>
      </c>
      <c r="N242" s="923">
        <f>2*430.617</f>
        <v>861.23400000000004</v>
      </c>
      <c r="O242" s="923">
        <f>2*427.567</f>
        <v>855.13400000000001</v>
      </c>
      <c r="P242" s="844">
        <f>Q242</f>
        <v>848.76</v>
      </c>
      <c r="Q242" s="1031">
        <f>2*424.38</f>
        <v>848.76</v>
      </c>
      <c r="R242" s="923">
        <f>2*415.203</f>
        <v>830.40599999999995</v>
      </c>
      <c r="S242" s="923">
        <f>2*410.115</f>
        <v>820.23</v>
      </c>
      <c r="T242" s="923">
        <f>2*408.021</f>
        <v>816.04200000000003</v>
      </c>
      <c r="U242" s="844">
        <f>V242</f>
        <v>811.62</v>
      </c>
      <c r="V242" s="1031">
        <f>2*405.81</f>
        <v>811.62</v>
      </c>
      <c r="W242" s="923">
        <f>2*398.002</f>
        <v>796.00400000000002</v>
      </c>
      <c r="X242" s="923">
        <f>2*395.999</f>
        <v>791.99800000000005</v>
      </c>
      <c r="Y242" s="923">
        <f>2*393.875</f>
        <v>787.75</v>
      </c>
      <c r="Z242" s="844">
        <f>AA242</f>
        <v>780.91</v>
      </c>
      <c r="AA242" s="1031">
        <f>2*390.455</f>
        <v>780.91</v>
      </c>
      <c r="AB242" s="923">
        <v>775.75699999999995</v>
      </c>
      <c r="AC242" s="923">
        <v>769.27200000000005</v>
      </c>
      <c r="AD242" s="923">
        <v>763.11300000000006</v>
      </c>
      <c r="AE242" s="844">
        <f>AF242</f>
        <v>755.28599999999994</v>
      </c>
      <c r="AF242" s="1031">
        <v>755.28599999999994</v>
      </c>
      <c r="AG242" s="923">
        <v>746.48699999999997</v>
      </c>
      <c r="AH242" s="923">
        <v>740.465</v>
      </c>
      <c r="AI242" s="923">
        <v>735.13</v>
      </c>
      <c r="AJ242" s="844">
        <f>AK242</f>
        <v>726.79300000000001</v>
      </c>
      <c r="AK242" s="1031">
        <v>726.79300000000001</v>
      </c>
      <c r="AL242" s="923">
        <v>718.38199999999995</v>
      </c>
      <c r="AM242" s="923">
        <v>713.90800000000002</v>
      </c>
      <c r="AN242" s="923">
        <v>703.57399999999996</v>
      </c>
      <c r="AO242" s="844">
        <f>AP242</f>
        <v>692.45399999999995</v>
      </c>
      <c r="AP242" s="1031">
        <v>692.45399999999995</v>
      </c>
      <c r="AQ242" s="923">
        <v>680.70699999999999</v>
      </c>
      <c r="AR242" s="923">
        <v>671.99</v>
      </c>
      <c r="AS242" s="923">
        <v>662.81700000000001</v>
      </c>
      <c r="AT242" s="844">
        <f>AU242</f>
        <v>652.13199999999995</v>
      </c>
      <c r="AU242" s="1031">
        <v>652.13199999999995</v>
      </c>
      <c r="AV242" s="923">
        <v>645.34900000000005</v>
      </c>
      <c r="AW242" s="923">
        <v>634.52599999999995</v>
      </c>
      <c r="AX242" s="925">
        <v>623.86800000000005</v>
      </c>
      <c r="AY242" s="832">
        <f>AZ242</f>
        <v>615.25599999999997</v>
      </c>
      <c r="AZ242" s="1033">
        <v>615.25599999999997</v>
      </c>
      <c r="BA242" s="925">
        <v>605.952</v>
      </c>
      <c r="BB242" s="925">
        <v>595.96900000000005</v>
      </c>
      <c r="BC242" s="925">
        <v>586.89700000000005</v>
      </c>
      <c r="BD242" s="832">
        <f>BE242</f>
        <v>578.47900000000004</v>
      </c>
      <c r="BE242" s="1033">
        <v>578.47900000000004</v>
      </c>
      <c r="BF242" s="925">
        <v>570.27800000000002</v>
      </c>
      <c r="BG242" s="925">
        <v>561.36900000000003</v>
      </c>
      <c r="BH242" s="927">
        <v>556.71699999999998</v>
      </c>
      <c r="BI242" s="832">
        <f ca="1">BH242*(1+BI243)+BI291/(BI292/BI308)</f>
        <v>556.71699999999998</v>
      </c>
      <c r="BJ242" s="999">
        <f ca="1">BI242</f>
        <v>556.71699999999998</v>
      </c>
      <c r="BK242" s="832">
        <f ca="1">BJ242*(1+BK243)+BK291/(BK292/BK308)</f>
        <v>556.71699999999998</v>
      </c>
      <c r="BL242" s="832">
        <f ca="1">BK242*(1+BL243)+BL291/(BL292/BL308)</f>
        <v>556.71699999999998</v>
      </c>
      <c r="BM242" s="832">
        <f ca="1">BL242*(1+BM243)+BM291/(BM292/BM308)</f>
        <v>556.71699999999998</v>
      </c>
      <c r="BN242" s="832">
        <f ca="1">BM242*(1+BN243)+BN291/(BN292/BN308)</f>
        <v>556.71699999999998</v>
      </c>
      <c r="BO242" s="999">
        <f ca="1">BN242</f>
        <v>556.71699999999998</v>
      </c>
      <c r="BP242" s="999">
        <f ca="1">BO242*(1+BP244)+BP291/(BP292/BP308)</f>
        <v>556.71699999999998</v>
      </c>
      <c r="BQ242" s="999">
        <f ca="1">BP242*(1+BQ244)+BQ291/(BQ292/BQ308)</f>
        <v>556.71699999999998</v>
      </c>
      <c r="BR242" s="999">
        <f ca="1">BQ242*(1+BR244)+BR291/(BR292/BR308)</f>
        <v>556.71699999999998</v>
      </c>
      <c r="BS242" s="816"/>
    </row>
    <row r="243" spans="1:71" s="223" customFormat="1" ht="15" customHeight="1" hidden="1" outlineLevel="1">
      <c r="A243" s="640" t="s">
        <v>462</v>
      </c>
      <c r="B243" s="641"/>
      <c r="C243" s="1034"/>
      <c r="D243" s="1034"/>
      <c r="E243" s="1034"/>
      <c r="F243" s="1034"/>
      <c r="G243" s="1034"/>
      <c r="H243" s="660"/>
      <c r="I243" s="660"/>
      <c r="J243" s="660"/>
      <c r="K243" s="660"/>
      <c r="L243" s="1034"/>
      <c r="M243" s="660"/>
      <c r="N243" s="660"/>
      <c r="O243" s="660"/>
      <c r="P243" s="660"/>
      <c r="Q243" s="1034"/>
      <c r="R243" s="660"/>
      <c r="S243" s="660"/>
      <c r="T243" s="660"/>
      <c r="U243" s="660"/>
      <c r="V243" s="1034"/>
      <c r="W243" s="660"/>
      <c r="X243" s="660"/>
      <c r="Y243" s="660"/>
      <c r="Z243" s="660"/>
      <c r="AA243" s="1034"/>
      <c r="AB243" s="660"/>
      <c r="AC243" s="660"/>
      <c r="AD243" s="660"/>
      <c r="AE243" s="660"/>
      <c r="AF243" s="1034"/>
      <c r="AG243" s="660"/>
      <c r="AH243" s="660"/>
      <c r="AI243" s="660"/>
      <c r="AJ243" s="660"/>
      <c r="AK243" s="1034"/>
      <c r="AL243" s="660"/>
      <c r="AM243" s="660"/>
      <c r="AN243" s="660"/>
      <c r="AO243" s="660"/>
      <c r="AP243" s="1034"/>
      <c r="AQ243" s="660"/>
      <c r="AR243" s="660"/>
      <c r="AS243" s="660"/>
      <c r="AT243" s="660"/>
      <c r="AU243" s="1034"/>
      <c r="AV243" s="660"/>
      <c r="AW243" s="660"/>
      <c r="AX243" s="644"/>
      <c r="AY243" s="644"/>
      <c r="AZ243" s="979"/>
      <c r="BA243" s="644"/>
      <c r="BB243" s="644"/>
      <c r="BC243" s="644"/>
      <c r="BD243" s="644"/>
      <c r="BE243" s="979"/>
      <c r="BF243" s="644"/>
      <c r="BG243" s="644"/>
      <c r="BH243" s="744"/>
      <c r="BI243" s="882">
        <v>0</v>
      </c>
      <c r="BJ243" s="979"/>
      <c r="BK243" s="882">
        <v>0</v>
      </c>
      <c r="BL243" s="882">
        <v>0</v>
      </c>
      <c r="BM243" s="882">
        <v>0</v>
      </c>
      <c r="BN243" s="882">
        <v>0</v>
      </c>
      <c r="BO243" s="979"/>
      <c r="BP243" s="979"/>
      <c r="BQ243" s="979"/>
      <c r="BR243" s="979"/>
      <c r="BS243" s="816"/>
    </row>
    <row r="244" spans="1:71" s="223" customFormat="1" ht="15" customHeight="1" hidden="1" outlineLevel="1">
      <c r="A244" s="640" t="s">
        <v>463</v>
      </c>
      <c r="B244" s="641"/>
      <c r="C244" s="1034"/>
      <c r="D244" s="1034"/>
      <c r="E244" s="1034"/>
      <c r="F244" s="1034"/>
      <c r="G244" s="1034"/>
      <c r="H244" s="660"/>
      <c r="I244" s="660"/>
      <c r="J244" s="660"/>
      <c r="K244" s="660"/>
      <c r="L244" s="1034"/>
      <c r="M244" s="660"/>
      <c r="N244" s="660"/>
      <c r="O244" s="660"/>
      <c r="P244" s="660"/>
      <c r="Q244" s="1034"/>
      <c r="R244" s="660"/>
      <c r="S244" s="660"/>
      <c r="T244" s="660"/>
      <c r="U244" s="660"/>
      <c r="V244" s="1034"/>
      <c r="W244" s="660"/>
      <c r="X244" s="660"/>
      <c r="Y244" s="660"/>
      <c r="Z244" s="660"/>
      <c r="AA244" s="1034"/>
      <c r="AB244" s="660"/>
      <c r="AC244" s="660"/>
      <c r="AD244" s="660"/>
      <c r="AE244" s="660"/>
      <c r="AF244" s="1034"/>
      <c r="AG244" s="660"/>
      <c r="AH244" s="660"/>
      <c r="AI244" s="660"/>
      <c r="AJ244" s="660"/>
      <c r="AK244" s="1034"/>
      <c r="AL244" s="660"/>
      <c r="AM244" s="660"/>
      <c r="AN244" s="660"/>
      <c r="AO244" s="660"/>
      <c r="AP244" s="1034"/>
      <c r="AQ244" s="660"/>
      <c r="AR244" s="660"/>
      <c r="AS244" s="660"/>
      <c r="AT244" s="660"/>
      <c r="AU244" s="1034"/>
      <c r="AV244" s="660"/>
      <c r="AW244" s="660"/>
      <c r="AX244" s="644"/>
      <c r="AY244" s="644"/>
      <c r="AZ244" s="979"/>
      <c r="BA244" s="644"/>
      <c r="BB244" s="644"/>
      <c r="BC244" s="644"/>
      <c r="BD244" s="644"/>
      <c r="BE244" s="979"/>
      <c r="BF244" s="644"/>
      <c r="BG244" s="644"/>
      <c r="BH244" s="744"/>
      <c r="BI244" s="644"/>
      <c r="BJ244" s="979"/>
      <c r="BK244" s="644"/>
      <c r="BL244" s="644"/>
      <c r="BM244" s="644"/>
      <c r="BN244" s="644"/>
      <c r="BO244" s="979"/>
      <c r="BP244" s="981">
        <v>0</v>
      </c>
      <c r="BQ244" s="981">
        <v>0</v>
      </c>
      <c r="BR244" s="981">
        <v>0</v>
      </c>
      <c r="BS244" s="816"/>
    </row>
    <row r="245" spans="1:71" s="223" customFormat="1" ht="15" customHeight="1" hidden="1" outlineLevel="2">
      <c r="A245" s="640" t="s">
        <v>464</v>
      </c>
      <c r="B245" s="641"/>
      <c r="C245" s="1034"/>
      <c r="D245" s="1034"/>
      <c r="E245" s="1034"/>
      <c r="F245" s="1034"/>
      <c r="G245" s="1034"/>
      <c r="H245" s="660"/>
      <c r="I245" s="660"/>
      <c r="J245" s="660"/>
      <c r="K245" s="660"/>
      <c r="L245" s="1034"/>
      <c r="M245" s="660"/>
      <c r="N245" s="660"/>
      <c r="O245" s="660"/>
      <c r="P245" s="660"/>
      <c r="Q245" s="1034"/>
      <c r="R245" s="660"/>
      <c r="S245" s="660"/>
      <c r="T245" s="660"/>
      <c r="U245" s="660"/>
      <c r="V245" s="1034"/>
      <c r="W245" s="660"/>
      <c r="X245" s="660"/>
      <c r="Y245" s="660"/>
      <c r="Z245" s="660"/>
      <c r="AA245" s="1034"/>
      <c r="AB245" s="660"/>
      <c r="AC245" s="660"/>
      <c r="AD245" s="660"/>
      <c r="AE245" s="660"/>
      <c r="AF245" s="1034"/>
      <c r="AG245" s="660"/>
      <c r="AH245" s="660"/>
      <c r="AI245" s="660"/>
      <c r="AJ245" s="660"/>
      <c r="AK245" s="1034"/>
      <c r="AL245" s="660"/>
      <c r="AM245" s="660"/>
      <c r="AN245" s="660"/>
      <c r="AO245" s="660"/>
      <c r="AP245" s="1034"/>
      <c r="AQ245" s="660"/>
      <c r="AR245" s="660"/>
      <c r="AS245" s="660"/>
      <c r="AT245" s="660"/>
      <c r="AU245" s="1034"/>
      <c r="AV245" s="660"/>
      <c r="AW245" s="660"/>
      <c r="AX245" s="644"/>
      <c r="AY245" s="644"/>
      <c r="AZ245" s="979"/>
      <c r="BA245" s="644"/>
      <c r="BB245" s="644"/>
      <c r="BC245" s="644"/>
      <c r="BD245" s="644"/>
      <c r="BE245" s="979"/>
      <c r="BF245" s="644"/>
      <c r="BG245" s="644"/>
      <c r="BH245" s="744"/>
      <c r="BI245" s="644">
        <f ca="1">BI291/(BI292/BI308)/BH242</f>
        <v>0</v>
      </c>
      <c r="BJ245" s="979"/>
      <c r="BK245" s="644">
        <f ca="1">BK291/(BK292/BK308)/BI242</f>
        <v>0</v>
      </c>
      <c r="BL245" s="644">
        <f ca="1">BL291/(BL292/BL308)/BK242</f>
        <v>0</v>
      </c>
      <c r="BM245" s="644">
        <f ca="1">BM291/(BM292/BM308)/BL242</f>
        <v>0</v>
      </c>
      <c r="BN245" s="644">
        <f ca="1">BN291/(BN292/BN308)/BM242</f>
        <v>0</v>
      </c>
      <c r="BO245" s="979"/>
      <c r="BP245" s="979"/>
      <c r="BQ245" s="979"/>
      <c r="BR245" s="979"/>
      <c r="BS245" s="816"/>
    </row>
    <row r="246" spans="1:71" s="223" customFormat="1" ht="15" customHeight="1" hidden="1" outlineLevel="2">
      <c r="A246" s="648" t="s">
        <v>465</v>
      </c>
      <c r="B246" s="649"/>
      <c r="C246" s="1035"/>
      <c r="D246" s="1035"/>
      <c r="E246" s="1035"/>
      <c r="F246" s="1035"/>
      <c r="G246" s="1035"/>
      <c r="H246" s="661"/>
      <c r="I246" s="661"/>
      <c r="J246" s="661"/>
      <c r="K246" s="661"/>
      <c r="L246" s="1035"/>
      <c r="M246" s="661"/>
      <c r="N246" s="661"/>
      <c r="O246" s="661"/>
      <c r="P246" s="661"/>
      <c r="Q246" s="1035"/>
      <c r="R246" s="661"/>
      <c r="S246" s="661"/>
      <c r="T246" s="661"/>
      <c r="U246" s="661"/>
      <c r="V246" s="1035"/>
      <c r="W246" s="661"/>
      <c r="X246" s="661"/>
      <c r="Y246" s="661"/>
      <c r="Z246" s="661"/>
      <c r="AA246" s="1035"/>
      <c r="AB246" s="661"/>
      <c r="AC246" s="661"/>
      <c r="AD246" s="661"/>
      <c r="AE246" s="661"/>
      <c r="AF246" s="1035"/>
      <c r="AG246" s="661"/>
      <c r="AH246" s="661"/>
      <c r="AI246" s="661"/>
      <c r="AJ246" s="661"/>
      <c r="AK246" s="1035"/>
      <c r="AL246" s="661"/>
      <c r="AM246" s="661"/>
      <c r="AN246" s="661"/>
      <c r="AO246" s="661"/>
      <c r="AP246" s="1035"/>
      <c r="AQ246" s="661"/>
      <c r="AR246" s="661"/>
      <c r="AS246" s="661"/>
      <c r="AT246" s="661"/>
      <c r="AU246" s="1035"/>
      <c r="AV246" s="661"/>
      <c r="AW246" s="661"/>
      <c r="AX246" s="650"/>
      <c r="AY246" s="650"/>
      <c r="AZ246" s="1036"/>
      <c r="BA246" s="650"/>
      <c r="BB246" s="650"/>
      <c r="BC246" s="650"/>
      <c r="BD246" s="650"/>
      <c r="BE246" s="1036"/>
      <c r="BF246" s="650"/>
      <c r="BG246" s="650"/>
      <c r="BH246" s="764"/>
      <c r="BI246" s="650"/>
      <c r="BJ246" s="1036">
        <f ca="1">BJ291/(BJ292/BJ308)/BE242</f>
        <v>-0.043843423875369721</v>
      </c>
      <c r="BK246" s="650"/>
      <c r="BL246" s="650"/>
      <c r="BM246" s="650"/>
      <c r="BN246" s="650"/>
      <c r="BO246" s="1036">
        <f ca="1">BO291/(BO292/BO308)/BJ242</f>
        <v>0</v>
      </c>
      <c r="BP246" s="1036">
        <f ca="1">BP291/(BP292/BP308)/BO242</f>
        <v>0</v>
      </c>
      <c r="BQ246" s="1036">
        <f ca="1">BQ291/(BQ292/BQ308)/BP242</f>
        <v>0</v>
      </c>
      <c r="BR246" s="1036">
        <f ca="1">BR291/(BR292/BR308)/BQ242</f>
        <v>0</v>
      </c>
      <c r="BS246" s="816"/>
    </row>
    <row r="247" spans="1:71" s="223" customFormat="1" ht="15" customHeight="1" hidden="1" outlineLevel="1" collapsed="1">
      <c r="A247" s="652" t="s">
        <v>466</v>
      </c>
      <c r="B247" s="641"/>
      <c r="C247" s="1034"/>
      <c r="D247" s="1034"/>
      <c r="E247" s="1034"/>
      <c r="F247" s="1034"/>
      <c r="G247" s="1034"/>
      <c r="H247" s="643">
        <f>H242/G242-1</f>
        <v>-0.011721479366060605</v>
      </c>
      <c r="I247" s="643">
        <f>I242/H242-1</f>
        <v>-0.0023743029064287047</v>
      </c>
      <c r="J247" s="643">
        <f>J242/I242-1</f>
        <v>-0.0054111932884423064</v>
      </c>
      <c r="K247" s="643">
        <f>K242/J242-1</f>
        <v>-0.017877953114213363</v>
      </c>
      <c r="L247" s="1034"/>
      <c r="M247" s="643">
        <f>M242/K242-1</f>
        <v>-0.019604696628959473</v>
      </c>
      <c r="N247" s="643">
        <f>N242/M242-1</f>
        <v>-0.0072711177095748925</v>
      </c>
      <c r="O247" s="643">
        <f>O242/N242-1</f>
        <v>-0.0070828601750512199</v>
      </c>
      <c r="P247" s="643">
        <f>P242/O242-1</f>
        <v>-0.0074538025619377279</v>
      </c>
      <c r="Q247" s="1034"/>
      <c r="R247" s="643">
        <f>R242/P242-1</f>
        <v>-0.021624487487629018</v>
      </c>
      <c r="S247" s="643">
        <f>S242/R242-1</f>
        <v>-0.012254246717870454</v>
      </c>
      <c r="T247" s="643">
        <f>T242/S242-1</f>
        <v>-0.0051058849347134228</v>
      </c>
      <c r="U247" s="643">
        <f>U242/T242-1</f>
        <v>-0.0054188387362414936</v>
      </c>
      <c r="V247" s="1034"/>
      <c r="W247" s="643">
        <f>W242/U242-1</f>
        <v>-0.019240531283112761</v>
      </c>
      <c r="X247" s="643">
        <f>X242/W242-1</f>
        <v>-0.0050326380269445359</v>
      </c>
      <c r="Y247" s="643">
        <f>Y242/X242-1</f>
        <v>-0.0053636499082069244</v>
      </c>
      <c r="Z247" s="643">
        <f>Z242/Y242-1</f>
        <v>-0.008682957791177448</v>
      </c>
      <c r="AA247" s="1034"/>
      <c r="AB247" s="643">
        <f>AB242/Z242-1</f>
        <v>-0.0065987117593576672</v>
      </c>
      <c r="AC247" s="643">
        <f>AC242/AB242-1</f>
        <v>-0.0083595765168730241</v>
      </c>
      <c r="AD247" s="643">
        <f>AD242/AC242-1</f>
        <v>-0.0080062708638817259</v>
      </c>
      <c r="AE247" s="643">
        <f>AE242/AD242-1</f>
        <v>-0.010256672340793749</v>
      </c>
      <c r="AF247" s="1034"/>
      <c r="AG247" s="643">
        <f>AG242/AE242-1</f>
        <v>-0.01164989156425511</v>
      </c>
      <c r="AH247" s="643">
        <f>AH242/AG242-1</f>
        <v>-0.0080671197221116042</v>
      </c>
      <c r="AI247" s="643">
        <f>AI242/AH242-1</f>
        <v>-0.0072049320359504065</v>
      </c>
      <c r="AJ247" s="643">
        <f>AJ242/AI242-1</f>
        <v>-0.011340851278005215</v>
      </c>
      <c r="AK247" s="1034"/>
      <c r="AL247" s="643">
        <f>AL242/AJ242-1</f>
        <v>-0.011572758680944983</v>
      </c>
      <c r="AM247" s="643">
        <f>AM242/AL242-1</f>
        <v>-0.0062278843289502728</v>
      </c>
      <c r="AN247" s="643">
        <f>AN242/AM242-1</f>
        <v>-0.014475254514587421</v>
      </c>
      <c r="AO247" s="643">
        <f>AO242/AN242-1</f>
        <v>-0.015805018377597846</v>
      </c>
      <c r="AP247" s="1034"/>
      <c r="AQ247" s="643">
        <f>AQ242/AO242-1</f>
        <v>-0.016964303766026312</v>
      </c>
      <c r="AR247" s="643">
        <f>AR242/AQ242-1</f>
        <v>-0.012805803377958447</v>
      </c>
      <c r="AS247" s="643">
        <f>AS242/AR242-1</f>
        <v>-0.013650500751499317</v>
      </c>
      <c r="AT247" s="643">
        <f>AT242/AS242-1</f>
        <v>-0.016120588337354191</v>
      </c>
      <c r="AU247" s="1034"/>
      <c r="AV247" s="643">
        <f>AV242/AT242-1</f>
        <v>-0.010401268454852564</v>
      </c>
      <c r="AW247" s="643">
        <f>AW242/AV242-1</f>
        <v>-0.016770770544310309</v>
      </c>
      <c r="AX247" s="644">
        <f>AX242/AW242-1</f>
        <v>-0.016796790044852239</v>
      </c>
      <c r="AY247" s="644">
        <f>AY242/AX242-1</f>
        <v>-0.013804202170972224</v>
      </c>
      <c r="AZ247" s="979"/>
      <c r="BA247" s="644">
        <f>BA242/AY242-1</f>
        <v>-0.015122160531551021</v>
      </c>
      <c r="BB247" s="644">
        <f>BB242/BA242-1</f>
        <v>-0.016474902302492489</v>
      </c>
      <c r="BC247" s="644">
        <f>BC242/BB242-1</f>
        <v>-0.015222268272343076</v>
      </c>
      <c r="BD247" s="644">
        <f>BD242/BC242-1</f>
        <v>-0.014343232287777896</v>
      </c>
      <c r="BE247" s="979"/>
      <c r="BF247" s="644">
        <f>BF242/BD242-1</f>
        <v>-0.014176832694013153</v>
      </c>
      <c r="BG247" s="644">
        <f>BG242/BF242-1</f>
        <v>-0.01562220531039249</v>
      </c>
      <c r="BH247" s="744">
        <f>BH242/BG242-1</f>
        <v>-0.0082868843844245976</v>
      </c>
      <c r="BI247" s="644">
        <f ca="1">BI242/BH242-1</f>
        <v>0</v>
      </c>
      <c r="BJ247" s="979"/>
      <c r="BK247" s="644">
        <f ca="1">BK242/BI242-1</f>
        <v>0</v>
      </c>
      <c r="BL247" s="644">
        <f ca="1">BL242/BK242-1</f>
        <v>0</v>
      </c>
      <c r="BM247" s="644">
        <f ca="1">BM242/BL242-1</f>
        <v>0</v>
      </c>
      <c r="BN247" s="644">
        <f ca="1">BN242/BM242-1</f>
        <v>0</v>
      </c>
      <c r="BO247" s="979"/>
      <c r="BP247" s="979"/>
      <c r="BQ247" s="979"/>
      <c r="BR247" s="979"/>
      <c r="BS247" s="816"/>
    </row>
    <row r="248" spans="1:71" s="223" customFormat="1" ht="15" customHeight="1" hidden="1" outlineLevel="1">
      <c r="A248" s="652" t="s">
        <v>467</v>
      </c>
      <c r="B248" s="641"/>
      <c r="C248" s="1034"/>
      <c r="D248" s="1037">
        <f>D242/C242-1</f>
        <v>0.0023326390193099122</v>
      </c>
      <c r="E248" s="1037">
        <f>E242/D242-1</f>
        <v>-0.0071349334945843834</v>
      </c>
      <c r="F248" s="1037">
        <f>F242/E242-1</f>
        <v>0.0031652763183289689</v>
      </c>
      <c r="G248" s="1037">
        <f>G242/F242-1</f>
        <v>-0.017899210322668946</v>
      </c>
      <c r="H248" s="660"/>
      <c r="I248" s="660"/>
      <c r="J248" s="660"/>
      <c r="K248" s="660"/>
      <c r="L248" s="1037">
        <f t="shared" si="594" ref="L248:AQ248">L242/G242-1</f>
        <v>-0.036934087629213797</v>
      </c>
      <c r="M248" s="643">
        <f t="shared" si="594"/>
        <v>-0.044616191071916278</v>
      </c>
      <c r="N248" s="643">
        <f t="shared" si="594"/>
        <v>-0.049305662876697132</v>
      </c>
      <c r="O248" s="643">
        <f t="shared" si="594"/>
        <v>-0.050903553614991437</v>
      </c>
      <c r="P248" s="643">
        <f t="shared" si="594"/>
        <v>-0.040829933664071283</v>
      </c>
      <c r="Q248" s="1037">
        <f t="shared" si="594"/>
        <v>-0.040829933664071283</v>
      </c>
      <c r="R248" s="643">
        <f t="shared" si="594"/>
        <v>-0.042805996712551142</v>
      </c>
      <c r="S248" s="643">
        <f t="shared" si="594"/>
        <v>-0.047610753871770051</v>
      </c>
      <c r="T248" s="643">
        <f t="shared" si="594"/>
        <v>-0.045714472819464502</v>
      </c>
      <c r="U248" s="643">
        <f t="shared" si="594"/>
        <v>-0.043757952778170517</v>
      </c>
      <c r="V248" s="1037">
        <f t="shared" si="594"/>
        <v>-0.043757952778170517</v>
      </c>
      <c r="W248" s="643">
        <f t="shared" si="594"/>
        <v>-0.041427928025568161</v>
      </c>
      <c r="X248" s="643">
        <f t="shared" si="594"/>
        <v>-0.034419614010704258</v>
      </c>
      <c r="Y248" s="643">
        <f t="shared" si="594"/>
        <v>-0.034669784153266603</v>
      </c>
      <c r="Z248" s="643">
        <f t="shared" si="594"/>
        <v>-0.037837904438037584</v>
      </c>
      <c r="AA248" s="1037">
        <f t="shared" si="594"/>
        <v>-0.037837904438037584</v>
      </c>
      <c r="AB248" s="643">
        <f t="shared" si="594"/>
        <v>-0.025435801830141602</v>
      </c>
      <c r="AC248" s="643">
        <f t="shared" si="594"/>
        <v>-0.028694516905345746</v>
      </c>
      <c r="AD248" s="643">
        <f t="shared" si="594"/>
        <v>-0.0312751507457949</v>
      </c>
      <c r="AE248" s="643">
        <f t="shared" si="594"/>
        <v>-0.032813000217694732</v>
      </c>
      <c r="AF248" s="1037">
        <f t="shared" si="594"/>
        <v>-0.032813000217694732</v>
      </c>
      <c r="AG248" s="643">
        <f t="shared" si="594"/>
        <v>-0.037730887378392919</v>
      </c>
      <c r="AH248" s="643">
        <f t="shared" si="594"/>
        <v>-0.037447092835824036</v>
      </c>
      <c r="AI248" s="643">
        <f t="shared" si="594"/>
        <v>-0.036669536490663956</v>
      </c>
      <c r="AJ248" s="643">
        <f t="shared" si="594"/>
        <v>-0.037724782400309187</v>
      </c>
      <c r="AK248" s="1037">
        <f t="shared" si="594"/>
        <v>-0.037724782400309187</v>
      </c>
      <c r="AL248" s="643">
        <f t="shared" si="594"/>
        <v>-0.03764968445532213</v>
      </c>
      <c r="AM248" s="643">
        <f t="shared" si="594"/>
        <v>-0.035865300858244464</v>
      </c>
      <c r="AN248" s="643">
        <f t="shared" si="594"/>
        <v>-0.042925741025396924</v>
      </c>
      <c r="AO248" s="643">
        <f t="shared" si="594"/>
        <v>-0.047247290493992122</v>
      </c>
      <c r="AP248" s="1037">
        <f t="shared" si="594"/>
        <v>-0.047247290493992122</v>
      </c>
      <c r="AQ248" s="643">
        <f t="shared" si="594"/>
        <v>-0.05244424275663917</v>
      </c>
      <c r="AR248" s="643">
        <f t="shared" si="595" ref="AR248:BJ248">AR242/AM242-1</f>
        <v>-0.058716249152551914</v>
      </c>
      <c r="AS248" s="643">
        <f t="shared" si="595"/>
        <v>-0.057928519246020937</v>
      </c>
      <c r="AT248" s="643">
        <f t="shared" si="595"/>
        <v>-0.058230582825718358</v>
      </c>
      <c r="AU248" s="1037">
        <f t="shared" si="595"/>
        <v>-0.058230582825718358</v>
      </c>
      <c r="AV248" s="643">
        <f t="shared" si="595"/>
        <v>-0.05194305332543947</v>
      </c>
      <c r="AW248" s="643">
        <f t="shared" si="595"/>
        <v>-0.055750829625440979</v>
      </c>
      <c r="AX248" s="644">
        <f t="shared" si="595"/>
        <v>-0.058762825938381114</v>
      </c>
      <c r="AY248" s="644">
        <f t="shared" si="595"/>
        <v>-0.056546834076536601</v>
      </c>
      <c r="AZ248" s="979">
        <f t="shared" si="595"/>
        <v>-0.056546834076536601</v>
      </c>
      <c r="BA248" s="644">
        <f t="shared" si="595"/>
        <v>-0.061047588204212078</v>
      </c>
      <c r="BB248" s="644">
        <f t="shared" si="595"/>
        <v>-0.060765043512795214</v>
      </c>
      <c r="BC248" s="644">
        <f t="shared" si="595"/>
        <v>-0.059260933402578764</v>
      </c>
      <c r="BD248" s="644">
        <f t="shared" si="595"/>
        <v>-0.059775117999661842</v>
      </c>
      <c r="BE248" s="979">
        <f t="shared" si="595"/>
        <v>-0.059775117999661842</v>
      </c>
      <c r="BF248" s="644">
        <f>BF242/BA242-1</f>
        <v>-0.058872649978876201</v>
      </c>
      <c r="BG248" s="644">
        <f>BG242/BB242-1</f>
        <v>-0.058056711003424688</v>
      </c>
      <c r="BH248" s="744">
        <f>BH242/BC242-1</f>
        <v>-0.051422992450123384</v>
      </c>
      <c r="BI248" s="644">
        <f ca="1">BI242/BD242-1</f>
        <v>-0.037619343139509098</v>
      </c>
      <c r="BJ248" s="979">
        <f t="shared" ca="1" si="595"/>
        <v>-0.037619343139509098</v>
      </c>
      <c r="BK248" s="644">
        <f ca="1">BK242/BF242-1</f>
        <v>-0.023779630285580056</v>
      </c>
      <c r="BL248" s="644">
        <f ca="1">BL242/BG242-1</f>
        <v>-0.0082868843844245976</v>
      </c>
      <c r="BM248" s="644">
        <f ca="1">BM242/BH242-1</f>
        <v>0</v>
      </c>
      <c r="BN248" s="644">
        <f ca="1">BN242/BI242-1</f>
        <v>0</v>
      </c>
      <c r="BO248" s="979">
        <f ca="1">BO242/BJ242-1</f>
        <v>0</v>
      </c>
      <c r="BP248" s="979">
        <f ca="1">BP242/BO242-1</f>
        <v>0</v>
      </c>
      <c r="BQ248" s="979">
        <f ca="1">BQ242/BP242-1</f>
        <v>0</v>
      </c>
      <c r="BR248" s="979">
        <f ca="1">BR242/BQ242-1</f>
        <v>0</v>
      </c>
      <c r="BS248" s="816"/>
    </row>
    <row r="249" spans="1:71" s="223" customFormat="1" ht="15" customHeight="1" hidden="1" outlineLevel="1">
      <c r="A249" s="370"/>
      <c r="B249" s="500"/>
      <c r="C249" s="999"/>
      <c r="D249" s="999"/>
      <c r="E249" s="999"/>
      <c r="F249" s="999"/>
      <c r="G249" s="999"/>
      <c r="H249" s="832"/>
      <c r="I249" s="832"/>
      <c r="J249" s="832"/>
      <c r="K249" s="832"/>
      <c r="L249" s="999"/>
      <c r="M249" s="832"/>
      <c r="N249" s="832"/>
      <c r="O249" s="832"/>
      <c r="P249" s="832"/>
      <c r="Q249" s="999"/>
      <c r="R249" s="832"/>
      <c r="S249" s="832"/>
      <c r="T249" s="832"/>
      <c r="U249" s="832"/>
      <c r="V249" s="999"/>
      <c r="W249" s="832"/>
      <c r="X249" s="832"/>
      <c r="Y249" s="832"/>
      <c r="Z249" s="832"/>
      <c r="AA249" s="999"/>
      <c r="AB249" s="832"/>
      <c r="AC249" s="832"/>
      <c r="AD249" s="832"/>
      <c r="AE249" s="832"/>
      <c r="AF249" s="999"/>
      <c r="AG249" s="832"/>
      <c r="AH249" s="832"/>
      <c r="AI249" s="832"/>
      <c r="AJ249" s="832"/>
      <c r="AK249" s="999"/>
      <c r="AL249" s="832"/>
      <c r="AM249" s="832"/>
      <c r="AN249" s="832"/>
      <c r="AO249" s="832"/>
      <c r="AP249" s="999"/>
      <c r="AQ249" s="832"/>
      <c r="AR249" s="832"/>
      <c r="AS249" s="832"/>
      <c r="AT249" s="832"/>
      <c r="AU249" s="999"/>
      <c r="AV249" s="832"/>
      <c r="AW249" s="832"/>
      <c r="AX249" s="832"/>
      <c r="AY249" s="832"/>
      <c r="AZ249" s="999"/>
      <c r="BA249" s="832"/>
      <c r="BB249" s="832"/>
      <c r="BC249" s="832"/>
      <c r="BD249" s="832"/>
      <c r="BE249" s="999"/>
      <c r="BF249" s="832"/>
      <c r="BG249" s="832"/>
      <c r="BH249" s="833"/>
      <c r="BI249" s="832"/>
      <c r="BJ249" s="999"/>
      <c r="BK249" s="832"/>
      <c r="BL249" s="832"/>
      <c r="BM249" s="832"/>
      <c r="BN249" s="832"/>
      <c r="BO249" s="999"/>
      <c r="BP249" s="999"/>
      <c r="BQ249" s="999"/>
      <c r="BR249" s="999"/>
      <c r="BS249" s="816"/>
    </row>
    <row r="250" spans="1:71" s="223" customFormat="1" ht="15" customHeight="1" hidden="1" outlineLevel="1">
      <c r="A250" s="370" t="s">
        <v>471</v>
      </c>
      <c r="B250" s="500"/>
      <c r="C250" s="1033">
        <f>469.135203*(2)</f>
        <v>938.27040599999998</v>
      </c>
      <c r="D250" s="1033">
        <f>470.207182*(2)</f>
        <v>940.41436399999998</v>
      </c>
      <c r="E250" s="1033">
        <f>467.097921*(2)</f>
        <v>934.19584199999997</v>
      </c>
      <c r="F250" s="1033">
        <f>467.73957*(2)</f>
        <v>935.47914000000003</v>
      </c>
      <c r="G250" s="1033">
        <f>455.815182*(2)</f>
        <v>911.63036399999999</v>
      </c>
      <c r="H250" s="925">
        <f>454.144039*(2)</f>
        <v>908.28807800000004</v>
      </c>
      <c r="I250" s="925">
        <f>453.045872*(2)</f>
        <v>906.09174399999995</v>
      </c>
      <c r="J250" s="925">
        <f>450.586603*(2)</f>
        <v>901.17320600000005</v>
      </c>
      <c r="K250" s="832">
        <f>L250</f>
        <v>877.80631400000004</v>
      </c>
      <c r="L250" s="1033">
        <f>438.903157*(2)</f>
        <v>877.80631400000004</v>
      </c>
      <c r="M250" s="925">
        <f>433.884327*(2)</f>
        <v>867.76865399999997</v>
      </c>
      <c r="N250" s="925">
        <f>430.694102*(2)</f>
        <v>861.38820399999997</v>
      </c>
      <c r="O250" s="925">
        <f>426.738679*(2)</f>
        <v>853.47735799999998</v>
      </c>
      <c r="P250" s="832">
        <f>Q250</f>
        <v>840.00275599999998</v>
      </c>
      <c r="Q250" s="1033">
        <f>420.001378*(2)</f>
        <v>840.00275599999998</v>
      </c>
      <c r="R250" s="925">
        <f>413.987033*(2)</f>
        <v>827.97406599999999</v>
      </c>
      <c r="S250" s="925">
        <f>409.575251*(2)</f>
        <v>819.15050199999996</v>
      </c>
      <c r="T250" s="925">
        <f>408.102088*(2)</f>
        <v>816.20417599999996</v>
      </c>
      <c r="U250" s="832">
        <f>V250</f>
        <v>802.85371999999995</v>
      </c>
      <c r="V250" s="1033">
        <f>401.42686*(2)</f>
        <v>802.85371999999995</v>
      </c>
      <c r="W250" s="925">
        <f>396.846578*(2)</f>
        <v>793.69315600000004</v>
      </c>
      <c r="X250" s="925">
        <f>395.229099*(2)</f>
        <v>790.45819800000004</v>
      </c>
      <c r="Y250" s="925">
        <f>393.149628*(2)</f>
        <v>786.29925600000001</v>
      </c>
      <c r="Z250" s="832">
        <f>AA250</f>
        <v>779.36596599999996</v>
      </c>
      <c r="AA250" s="1033">
        <f>389.682983*(2)</f>
        <v>779.36596599999996</v>
      </c>
      <c r="AB250" s="925">
        <v>774.16705400000001</v>
      </c>
      <c r="AC250" s="925">
        <v>767.80025799999999</v>
      </c>
      <c r="AD250" s="925">
        <v>761.27934500000003</v>
      </c>
      <c r="AE250" s="832">
        <f>AF250</f>
        <v>750.33237499999996</v>
      </c>
      <c r="AF250" s="1033">
        <v>750.33237499999996</v>
      </c>
      <c r="AG250" s="925">
        <v>745.46911899999998</v>
      </c>
      <c r="AH250" s="925">
        <v>740.38333499999999</v>
      </c>
      <c r="AI250" s="925">
        <v>734.01801</v>
      </c>
      <c r="AJ250" s="832">
        <f>AK250</f>
        <v>722.52070000000003</v>
      </c>
      <c r="AK250" s="1033">
        <v>722.52070000000003</v>
      </c>
      <c r="AL250" s="925">
        <v>717.50791900000002</v>
      </c>
      <c r="AM250" s="925">
        <v>712.91237799999999</v>
      </c>
      <c r="AN250" s="925">
        <v>702.445245</v>
      </c>
      <c r="AO250" s="832">
        <f>AP250</f>
        <v>688.58708300000001</v>
      </c>
      <c r="AP250" s="1033">
        <v>688.58708300000001</v>
      </c>
      <c r="AQ250" s="925">
        <v>679.66723400000001</v>
      </c>
      <c r="AR250" s="925">
        <v>670.74134900000001</v>
      </c>
      <c r="AS250" s="925">
        <v>661.52821900000004</v>
      </c>
      <c r="AT250" s="832">
        <f>AU250</f>
        <v>649.86087499999996</v>
      </c>
      <c r="AU250" s="1033">
        <v>649.86087499999996</v>
      </c>
      <c r="AV250" s="925">
        <v>644.16453799999999</v>
      </c>
      <c r="AW250" s="925">
        <v>631.91647799999998</v>
      </c>
      <c r="AX250" s="925">
        <v>621.78855999999996</v>
      </c>
      <c r="AY250" s="832">
        <f>AZ250</f>
        <v>612.20864800000004</v>
      </c>
      <c r="AZ250" s="1033">
        <v>612.20864800000004</v>
      </c>
      <c r="BA250" s="925">
        <v>604.22699499999999</v>
      </c>
      <c r="BB250" s="925">
        <v>594.06247800000006</v>
      </c>
      <c r="BC250" s="925">
        <v>584.37988900000005</v>
      </c>
      <c r="BD250" s="832">
        <f>BE250</f>
        <v>577.00832800000001</v>
      </c>
      <c r="BE250" s="1033">
        <v>577.00832800000001</v>
      </c>
      <c r="BF250" s="925">
        <v>568.22244699999999</v>
      </c>
      <c r="BG250" s="925">
        <v>560.02631099999996</v>
      </c>
      <c r="BH250" s="927">
        <v>555.52841699999999</v>
      </c>
      <c r="BI250" s="832"/>
      <c r="BJ250" s="999"/>
      <c r="BK250" s="832"/>
      <c r="BL250" s="832"/>
      <c r="BM250" s="832"/>
      <c r="BN250" s="832"/>
      <c r="BO250" s="999"/>
      <c r="BP250" s="999"/>
      <c r="BQ250" s="999"/>
      <c r="BR250" s="999"/>
      <c r="BS250" s="816"/>
    </row>
    <row r="251" spans="1:71" s="223" customFormat="1" ht="15" customHeight="1" hidden="1" outlineLevel="1">
      <c r="A251" s="370" t="s">
        <v>472</v>
      </c>
      <c r="B251" s="500"/>
      <c r="C251" s="1038">
        <v>40231</v>
      </c>
      <c r="D251" s="1038">
        <v>40591</v>
      </c>
      <c r="E251" s="1038">
        <v>40955</v>
      </c>
      <c r="F251" s="1038">
        <v>41324</v>
      </c>
      <c r="G251" s="1038">
        <v>41688</v>
      </c>
      <c r="H251" s="929">
        <v>41753</v>
      </c>
      <c r="I251" s="929">
        <v>41848</v>
      </c>
      <c r="J251" s="929">
        <v>41939</v>
      </c>
      <c r="K251" s="602">
        <f>L251</f>
        <v>42052</v>
      </c>
      <c r="L251" s="1038">
        <v>42052</v>
      </c>
      <c r="M251" s="929">
        <v>42118</v>
      </c>
      <c r="N251" s="929">
        <v>42212</v>
      </c>
      <c r="O251" s="929">
        <v>42303</v>
      </c>
      <c r="P251" s="602">
        <f>Q251</f>
        <v>42416</v>
      </c>
      <c r="Q251" s="1038">
        <v>42416</v>
      </c>
      <c r="R251" s="929">
        <v>42486</v>
      </c>
      <c r="S251" s="929">
        <v>42579</v>
      </c>
      <c r="T251" s="929">
        <v>42670</v>
      </c>
      <c r="U251" s="602">
        <f>V251</f>
        <v>42781</v>
      </c>
      <c r="V251" s="1038">
        <v>42781</v>
      </c>
      <c r="W251" s="929">
        <v>42850</v>
      </c>
      <c r="X251" s="929">
        <v>42942</v>
      </c>
      <c r="Y251" s="929">
        <v>43033</v>
      </c>
      <c r="Z251" s="602">
        <f>AA251</f>
        <v>43144</v>
      </c>
      <c r="AA251" s="1038">
        <v>43144</v>
      </c>
      <c r="AB251" s="929">
        <v>43215</v>
      </c>
      <c r="AC251" s="929">
        <v>43307</v>
      </c>
      <c r="AD251" s="929">
        <v>43397</v>
      </c>
      <c r="AE251" s="602">
        <f>AF251</f>
        <v>43508</v>
      </c>
      <c r="AF251" s="1038">
        <v>43508</v>
      </c>
      <c r="AG251" s="929">
        <v>43572</v>
      </c>
      <c r="AH251" s="929">
        <v>43664</v>
      </c>
      <c r="AI251" s="929">
        <v>43755</v>
      </c>
      <c r="AJ251" s="602">
        <f>AK251</f>
        <v>43873</v>
      </c>
      <c r="AK251" s="1038">
        <v>43873</v>
      </c>
      <c r="AL251" s="929">
        <v>43941</v>
      </c>
      <c r="AM251" s="929">
        <v>44032</v>
      </c>
      <c r="AN251" s="929">
        <v>44123</v>
      </c>
      <c r="AO251" s="602">
        <f>AP251</f>
        <v>44244</v>
      </c>
      <c r="AP251" s="1038">
        <v>44244</v>
      </c>
      <c r="AQ251" s="929">
        <v>44306</v>
      </c>
      <c r="AR251" s="929">
        <v>44397</v>
      </c>
      <c r="AS251" s="929">
        <v>44488</v>
      </c>
      <c r="AT251" s="602">
        <f>AU251</f>
        <v>44608</v>
      </c>
      <c r="AU251" s="1038">
        <v>44608</v>
      </c>
      <c r="AV251" s="929">
        <v>44672</v>
      </c>
      <c r="AW251" s="929">
        <v>44767</v>
      </c>
      <c r="AX251" s="929">
        <v>44858</v>
      </c>
      <c r="AY251" s="602">
        <f>AZ251</f>
        <v>44973</v>
      </c>
      <c r="AZ251" s="1038">
        <v>44973</v>
      </c>
      <c r="BA251" s="929">
        <v>45037</v>
      </c>
      <c r="BB251" s="929">
        <v>45133</v>
      </c>
      <c r="BC251" s="929">
        <v>45225</v>
      </c>
      <c r="BD251" s="602">
        <f>BE251</f>
        <v>45337</v>
      </c>
      <c r="BE251" s="1038">
        <v>45337</v>
      </c>
      <c r="BF251" s="929">
        <v>45406</v>
      </c>
      <c r="BG251" s="929">
        <v>45497</v>
      </c>
      <c r="BH251" s="930">
        <v>45589</v>
      </c>
      <c r="BI251" s="602"/>
      <c r="BJ251" s="1039"/>
      <c r="BK251" s="602"/>
      <c r="BL251" s="602"/>
      <c r="BM251" s="602"/>
      <c r="BN251" s="602"/>
      <c r="BO251" s="1039"/>
      <c r="BP251" s="1039"/>
      <c r="BQ251" s="1039"/>
      <c r="BR251" s="1039"/>
      <c r="BS251" s="816"/>
    </row>
    <row r="252" spans="1:71" s="223" customFormat="1" ht="15" customHeight="1" hidden="1" outlineLevel="1">
      <c r="A252" s="370"/>
      <c r="B252" s="500"/>
      <c r="C252" s="1039"/>
      <c r="D252" s="1039"/>
      <c r="E252" s="1039"/>
      <c r="F252" s="1039"/>
      <c r="G252" s="1039"/>
      <c r="H252" s="602"/>
      <c r="I252" s="602"/>
      <c r="J252" s="602"/>
      <c r="K252" s="602"/>
      <c r="L252" s="1039"/>
      <c r="M252" s="602"/>
      <c r="N252" s="602"/>
      <c r="O252" s="602"/>
      <c r="P252" s="602"/>
      <c r="Q252" s="1039"/>
      <c r="R252" s="602"/>
      <c r="S252" s="602"/>
      <c r="T252" s="602"/>
      <c r="U252" s="602"/>
      <c r="V252" s="1039"/>
      <c r="W252" s="602"/>
      <c r="X252" s="602"/>
      <c r="Y252" s="602"/>
      <c r="Z252" s="602"/>
      <c r="AA252" s="1039"/>
      <c r="AB252" s="602"/>
      <c r="AC252" s="602"/>
      <c r="AD252" s="602"/>
      <c r="AE252" s="602"/>
      <c r="AF252" s="1039"/>
      <c r="AG252" s="602"/>
      <c r="AH252" s="602"/>
      <c r="AI252" s="602"/>
      <c r="AJ252" s="602"/>
      <c r="AK252" s="1039"/>
      <c r="AL252" s="602"/>
      <c r="AM252" s="602"/>
      <c r="AN252" s="602"/>
      <c r="AO252" s="602"/>
      <c r="AP252" s="1039"/>
      <c r="AQ252" s="602"/>
      <c r="AR252" s="602"/>
      <c r="AS252" s="602"/>
      <c r="AT252" s="602"/>
      <c r="AU252" s="1039"/>
      <c r="AV252" s="602"/>
      <c r="AW252" s="602"/>
      <c r="AX252" s="602"/>
      <c r="AY252" s="602"/>
      <c r="AZ252" s="1039"/>
      <c r="BA252" s="602"/>
      <c r="BB252" s="602"/>
      <c r="BC252" s="602"/>
      <c r="BD252" s="602"/>
      <c r="BE252" s="1039"/>
      <c r="BF252" s="602"/>
      <c r="BG252" s="602"/>
      <c r="BH252" s="765"/>
      <c r="BI252" s="602"/>
      <c r="BJ252" s="1039"/>
      <c r="BK252" s="602"/>
      <c r="BL252" s="602"/>
      <c r="BM252" s="602"/>
      <c r="BN252" s="602"/>
      <c r="BO252" s="1039"/>
      <c r="BP252" s="1039"/>
      <c r="BQ252" s="1039"/>
      <c r="BR252" s="1039"/>
      <c r="BS252" s="816"/>
    </row>
    <row r="253" spans="1:71" s="223" customFormat="1" ht="15" customHeight="1" hidden="1" outlineLevel="1">
      <c r="A253" s="370" t="s">
        <v>473</v>
      </c>
      <c r="B253" s="500"/>
      <c r="C253" s="999">
        <f>C238-C237</f>
        <v>5.0219999999999345</v>
      </c>
      <c r="D253" s="999">
        <f t="shared" si="596" ref="D253:K253">IF(D224&gt;0,(D238-D237),C253)</f>
        <v>8.0939999999999372</v>
      </c>
      <c r="E253" s="999">
        <f t="shared" si="596"/>
        <v>5.7019999999999982</v>
      </c>
      <c r="F253" s="999">
        <f t="shared" si="596"/>
        <v>4.8379999999999654</v>
      </c>
      <c r="G253" s="999">
        <f t="shared" si="596"/>
        <v>5.8120000000000118</v>
      </c>
      <c r="H253" s="832">
        <f t="shared" si="596"/>
        <v>5.9360000000000355</v>
      </c>
      <c r="I253" s="832">
        <f t="shared" si="596"/>
        <v>5.6419999999999391</v>
      </c>
      <c r="J253" s="832">
        <f t="shared" si="596"/>
        <v>5.4700000000000273</v>
      </c>
      <c r="K253" s="832">
        <f t="shared" si="596"/>
        <v>5.3199999999999363</v>
      </c>
      <c r="L253" s="999">
        <f>K253</f>
        <v>5.3199999999999363</v>
      </c>
      <c r="M253" s="832">
        <f>IF(M224&gt;0,(M238-M237),L253)</f>
        <v>5.2420000000000755</v>
      </c>
      <c r="N253" s="832">
        <f>IF(N224&gt;0,(N238-N237),M253)</f>
        <v>5.1699999999999591</v>
      </c>
      <c r="O253" s="832">
        <f>IF(O224&gt;0,(O238-O237),N253)</f>
        <v>4.7339999999999236</v>
      </c>
      <c r="P253" s="832">
        <f>IF(P224&gt;0,(P238-P237),O253)</f>
        <v>5</v>
      </c>
      <c r="Q253" s="999">
        <f>P253</f>
        <v>5</v>
      </c>
      <c r="R253" s="832">
        <f>IF(R224&gt;0,(R238-R237),Q253)</f>
        <v>4.3440000000000509</v>
      </c>
      <c r="S253" s="832">
        <f>IF(S224&gt;0,(S238-S237),R253)</f>
        <v>4.9460000000000264</v>
      </c>
      <c r="T253" s="832">
        <f>IF(T224&gt;0,(T238-T237),S253)</f>
        <v>5.2419999999999618</v>
      </c>
      <c r="U253" s="832">
        <f>IF(U224&gt;0,(U238-U237),T253)</f>
        <v>5.0660000000000309</v>
      </c>
      <c r="V253" s="999">
        <f>U253</f>
        <v>5.0660000000000309</v>
      </c>
      <c r="W253" s="832">
        <f>IF(W224&gt;0,(W238-W237),V253)</f>
        <v>5.8780000000000427</v>
      </c>
      <c r="X253" s="832">
        <f>IF(X224&gt;0,(X238-X237),W253)</f>
        <v>5.8300000000000409</v>
      </c>
      <c r="Y253" s="832">
        <f>IF(Y224&gt;0,(Y238-Y237),X253)</f>
        <v>5.8039999999999736</v>
      </c>
      <c r="Z253" s="832">
        <f>IF(Z224&gt;0,(Z238-Z237),Y253)</f>
        <v>5.7620000000000573</v>
      </c>
      <c r="AA253" s="999">
        <f>Z253</f>
        <v>5.7620000000000573</v>
      </c>
      <c r="AB253" s="832">
        <f>IF(AB224&gt;0,(AB238-AB237),AA253)</f>
        <v>5.3020000000000209</v>
      </c>
      <c r="AC253" s="832">
        <f>IF(AC224&gt;0,(AC238-AC237),AB253)</f>
        <v>4.8580000000000609</v>
      </c>
      <c r="AD253" s="832">
        <f>IF(AD224&gt;0,(AD238-AD237),AC253)</f>
        <v>5.0210000000000719</v>
      </c>
      <c r="AE253" s="832">
        <f>IF(AE224&gt;0,(AE238-AE237),AD253)</f>
        <v>5.0659999999999172</v>
      </c>
      <c r="AF253" s="999">
        <f>AE253</f>
        <v>5.0659999999999172</v>
      </c>
      <c r="AG253" s="832">
        <f>IF(AG224&gt;0,(AG238-AG237),AF253)</f>
        <v>4.3669999999999618</v>
      </c>
      <c r="AH253" s="832">
        <f>IF(AH224&gt;0,(AH238-AH237),AG253)</f>
        <v>3.6960000000000264</v>
      </c>
      <c r="AI253" s="832">
        <f>IF(AI224&gt;0,(AI238-AI237),AH253)</f>
        <v>3.8959999999999582</v>
      </c>
      <c r="AJ253" s="832">
        <f>IF(AJ224&gt;0,(AJ238-AJ237),AI253)</f>
        <v>4.1050000000000182</v>
      </c>
      <c r="AK253" s="999">
        <f>AJ253</f>
        <v>4.1050000000000182</v>
      </c>
      <c r="AL253" s="832">
        <f>IF(AL224&gt;0,(AL238-AL237),AK253)</f>
        <v>3.1459999999999582</v>
      </c>
      <c r="AM253" s="832">
        <f>IF(AM224&gt;0,(AM238-AM237),AL253)</f>
        <v>1.875</v>
      </c>
      <c r="AN253" s="832">
        <f>IF(AN224&gt;0,(AN238-AN237),AM253)</f>
        <v>2.0950000000000273</v>
      </c>
      <c r="AO253" s="832">
        <f>IF(AO224&gt;0,(AO238-AO237),AN253)</f>
        <v>2.8430000000000746</v>
      </c>
      <c r="AP253" s="999">
        <f>AO253</f>
        <v>2.8430000000000746</v>
      </c>
      <c r="AQ253" s="832">
        <f>IF(AQ224&gt;0,(AQ238-AQ237),AP253)</f>
        <v>3.0020000000000664</v>
      </c>
      <c r="AR253" s="832">
        <f>IF(AR224&gt;0,(AR238-AR237),AQ253)</f>
        <v>2.8700000000000045</v>
      </c>
      <c r="AS253" s="832">
        <f>IF(AS224&gt;0,(AS238-AS237),AR253)</f>
        <v>3.1630000000000109</v>
      </c>
      <c r="AT253" s="832">
        <f>IF(AT224&gt;0,(AT238-AT237),AS253)</f>
        <v>3.4119999999999209</v>
      </c>
      <c r="AU253" s="999">
        <f>AT253</f>
        <v>3.4119999999999209</v>
      </c>
      <c r="AV253" s="832">
        <f>IF(AV224&gt;0,(AV238-AV237),AU253)</f>
        <v>3.0739999999999554</v>
      </c>
      <c r="AW253" s="832">
        <f>IF(AW224&gt;0,(AW238-AW237),AV253)</f>
        <v>2.5360000000000582</v>
      </c>
      <c r="AX253" s="832">
        <f>IF(AX224&gt;0,(AX238-AX237),AW253)</f>
        <v>2.5960000000000036</v>
      </c>
      <c r="AY253" s="832">
        <f>IF(AY224&gt;0,(AY238-AY237),AX253)</f>
        <v>3.1490000000000009</v>
      </c>
      <c r="AZ253" s="999">
        <f>AY253</f>
        <v>3.1490000000000009</v>
      </c>
      <c r="BA253" s="832">
        <f>IF(BA224&gt;0,(BA238-BA237),AZ253)</f>
        <v>2.7450000000000045</v>
      </c>
      <c r="BB253" s="832">
        <f>IF(BB224&gt;0,(BB238-BB237),BA253)</f>
        <v>2.1870000000000118</v>
      </c>
      <c r="BC253" s="832">
        <f>IF(BC224&gt;0,(BC238-BC237),BB253)</f>
        <v>2.3500000000000227</v>
      </c>
      <c r="BD253" s="832">
        <f>IF(BD224&gt;0,(BD238-BD237),BC253)</f>
        <v>3.0049999999999955</v>
      </c>
      <c r="BE253" s="999">
        <f>BD253</f>
        <v>3.0049999999999955</v>
      </c>
      <c r="BF253" s="832">
        <f>IF(BF224&gt;0,(BF238-BF237),BE253)</f>
        <v>2.5960000000000036</v>
      </c>
      <c r="BG253" s="832">
        <f>IF(BG224&gt;0,(BG238-BG237),BF253)</f>
        <v>2.2649999999999864</v>
      </c>
      <c r="BH253" s="833">
        <f>IF(BH224&gt;0,(BH238-BH237),BG253)</f>
        <v>2.2649999999999864</v>
      </c>
      <c r="BI253" s="832">
        <f ca="1">BI242*BI254-BI242</f>
        <v>2.2268679999999677</v>
      </c>
      <c r="BJ253" s="999">
        <f ca="1">BI253</f>
        <v>2.2268679999999677</v>
      </c>
      <c r="BK253" s="832">
        <f ca="1">BK242*BK254-BK242</f>
        <v>2.2268679999999677</v>
      </c>
      <c r="BL253" s="832">
        <f ca="1">BL242*BL254-BL242</f>
        <v>2.2268679999999677</v>
      </c>
      <c r="BM253" s="832">
        <f ca="1">BM242*BM254-BM242</f>
        <v>2.2268679999999677</v>
      </c>
      <c r="BN253" s="832">
        <f ca="1">BN242*BN254-BN242</f>
        <v>2.2268679999999677</v>
      </c>
      <c r="BO253" s="999">
        <f ca="1">BN253</f>
        <v>2.2268679999999677</v>
      </c>
      <c r="BP253" s="999">
        <f ca="1">BP242*BP254-BP242</f>
        <v>2.2268679999999677</v>
      </c>
      <c r="BQ253" s="999">
        <f ca="1">BQ242*BQ254-BQ242</f>
        <v>2.2268679999999677</v>
      </c>
      <c r="BR253" s="999">
        <f ca="1">BR242*BR254-BR242</f>
        <v>2.2268679999999677</v>
      </c>
      <c r="BS253" s="816"/>
    </row>
    <row r="254" spans="1:71" s="223" customFormat="1" ht="15" customHeight="1" hidden="1" outlineLevel="1">
      <c r="A254" s="653" t="s">
        <v>468</v>
      </c>
      <c r="B254" s="641"/>
      <c r="C254" s="1040">
        <f t="shared" si="597" ref="C254:AH254">(C253+C242)/C242</f>
        <v>1.0053588806747367</v>
      </c>
      <c r="D254" s="1040">
        <f t="shared" si="597"/>
        <v>1.0086168534325821</v>
      </c>
      <c r="E254" s="1040">
        <f t="shared" si="597"/>
        <v>1.0061139585254444</v>
      </c>
      <c r="F254" s="1040">
        <f t="shared" si="597"/>
        <v>1.0051711680127238</v>
      </c>
      <c r="G254" s="1040">
        <f t="shared" si="597"/>
        <v>1.0063254631453615</v>
      </c>
      <c r="H254" s="655">
        <f t="shared" si="597"/>
        <v>1.006537041768349</v>
      </c>
      <c r="I254" s="655">
        <f t="shared" si="597"/>
        <v>1.0062280604923279</v>
      </c>
      <c r="J254" s="655">
        <f t="shared" si="597"/>
        <v>1.0060710456626984</v>
      </c>
      <c r="K254" s="655">
        <f t="shared" si="597"/>
        <v>1.0060120466950693</v>
      </c>
      <c r="L254" s="1040">
        <f t="shared" si="597"/>
        <v>1.0060120466950693</v>
      </c>
      <c r="M254" s="655">
        <f t="shared" si="597"/>
        <v>1.006042358756118</v>
      </c>
      <c r="N254" s="655">
        <f t="shared" si="597"/>
        <v>1.0060030142795104</v>
      </c>
      <c r="O254" s="655">
        <f t="shared" si="597"/>
        <v>1.0055359744788535</v>
      </c>
      <c r="P254" s="655">
        <f t="shared" si="597"/>
        <v>1.0058909467929686</v>
      </c>
      <c r="Q254" s="1040">
        <f t="shared" si="597"/>
        <v>1.0058909467929686</v>
      </c>
      <c r="R254" s="655">
        <f t="shared" si="597"/>
        <v>1.0052311760753174</v>
      </c>
      <c r="S254" s="655">
        <f t="shared" si="597"/>
        <v>1.0060300159711302</v>
      </c>
      <c r="T254" s="655">
        <f t="shared" si="597"/>
        <v>1.0064236889767928</v>
      </c>
      <c r="U254" s="655">
        <f t="shared" si="597"/>
        <v>1.0062418373130284</v>
      </c>
      <c r="V254" s="1040">
        <f t="shared" si="597"/>
        <v>1.0062418373130284</v>
      </c>
      <c r="W254" s="655">
        <f t="shared" si="597"/>
        <v>1.0073843850030906</v>
      </c>
      <c r="X254" s="655">
        <f t="shared" si="597"/>
        <v>1.0073611296998226</v>
      </c>
      <c r="Y254" s="655">
        <f t="shared" si="597"/>
        <v>1.0073678197397651</v>
      </c>
      <c r="Z254" s="655">
        <f t="shared" si="597"/>
        <v>1.0073785711541663</v>
      </c>
      <c r="AA254" s="1040">
        <f t="shared" si="597"/>
        <v>1.0073785711541663</v>
      </c>
      <c r="AB254" s="655">
        <f t="shared" si="597"/>
        <v>1.0068346144475655</v>
      </c>
      <c r="AC254" s="655">
        <f t="shared" si="597"/>
        <v>1.006315061512703</v>
      </c>
      <c r="AD254" s="655">
        <f t="shared" si="597"/>
        <v>1.0065796284429698</v>
      </c>
      <c r="AE254" s="655">
        <f t="shared" si="597"/>
        <v>1.0067073929610768</v>
      </c>
      <c r="AF254" s="1040">
        <f t="shared" si="597"/>
        <v>1.0067073929610768</v>
      </c>
      <c r="AG254" s="655">
        <f t="shared" si="597"/>
        <v>1.0058500683869913</v>
      </c>
      <c r="AH254" s="655">
        <f t="shared" si="597"/>
        <v>1.0049914580702668</v>
      </c>
      <c r="AI254" s="655">
        <f t="shared" si="598" ref="AI254:BD254">(AI253+AI242)/AI242</f>
        <v>1.0052997429026158</v>
      </c>
      <c r="AJ254" s="655">
        <f t="shared" si="598"/>
        <v>1.0056481006283771</v>
      </c>
      <c r="AK254" s="1040">
        <f t="shared" si="598"/>
        <v>1.0056481006283771</v>
      </c>
      <c r="AL254" s="655">
        <f t="shared" si="598"/>
        <v>1.0043792856725251</v>
      </c>
      <c r="AM254" s="655">
        <f t="shared" si="598"/>
        <v>1.0026263888344156</v>
      </c>
      <c r="AN254" s="655">
        <f t="shared" si="598"/>
        <v>1.0029776540918227</v>
      </c>
      <c r="AO254" s="655">
        <f t="shared" si="598"/>
        <v>1.0041056878868488</v>
      </c>
      <c r="AP254" s="1040">
        <f t="shared" si="598"/>
        <v>1.0041056878868488</v>
      </c>
      <c r="AQ254" s="655">
        <f t="shared" si="598"/>
        <v>1.0044101206539673</v>
      </c>
      <c r="AR254" s="655">
        <f t="shared" si="598"/>
        <v>1.0042708968883465</v>
      </c>
      <c r="AS254" s="655">
        <f t="shared" si="598"/>
        <v>1.0047720562387508</v>
      </c>
      <c r="AT254" s="655">
        <f t="shared" si="598"/>
        <v>1.0052320695810049</v>
      </c>
      <c r="AU254" s="1040">
        <f t="shared" si="598"/>
        <v>1.0052320695810049</v>
      </c>
      <c r="AV254" s="655">
        <f t="shared" si="598"/>
        <v>1.0047633141137586</v>
      </c>
      <c r="AW254" s="655">
        <f t="shared" si="598"/>
        <v>1.0039966841390267</v>
      </c>
      <c r="AX254" s="655">
        <f t="shared" si="598"/>
        <v>1.0041611366507017</v>
      </c>
      <c r="AY254" s="655">
        <f t="shared" si="598"/>
        <v>1.0051181947026928</v>
      </c>
      <c r="AZ254" s="1040">
        <f t="shared" si="598"/>
        <v>1.0051181947026928</v>
      </c>
      <c r="BA254" s="655">
        <f t="shared" si="598"/>
        <v>1.0045300617870723</v>
      </c>
      <c r="BB254" s="655">
        <f t="shared" si="598"/>
        <v>1.0036696539585113</v>
      </c>
      <c r="BC254" s="655">
        <f t="shared" si="598"/>
        <v>1.0040041097500925</v>
      </c>
      <c r="BD254" s="655">
        <f t="shared" si="598"/>
        <v>1.0051946570229862</v>
      </c>
      <c r="BE254" s="1040">
        <f>(BE253+BE242)/BE242</f>
        <v>1.0051946570229862</v>
      </c>
      <c r="BF254" s="655">
        <f t="shared" si="599" ref="BF254:BG254">(BF253+BF242)/BF242</f>
        <v>1.0045521657858096</v>
      </c>
      <c r="BG254" s="655">
        <f t="shared" si="599"/>
        <v>1.0040347792628377</v>
      </c>
      <c r="BH254" s="795">
        <f>(BH253+BH242)/BH242</f>
        <v>1.0040684944055955</v>
      </c>
      <c r="BI254" s="931">
        <v>1.004</v>
      </c>
      <c r="BJ254" s="1040">
        <f ca="1">(BJ253+BJ242)/BJ242</f>
        <v>1.004</v>
      </c>
      <c r="BK254" s="931">
        <v>1.004</v>
      </c>
      <c r="BL254" s="931">
        <v>1.004</v>
      </c>
      <c r="BM254" s="931">
        <v>1.004</v>
      </c>
      <c r="BN254" s="931">
        <v>1.004</v>
      </c>
      <c r="BO254" s="1040">
        <f ca="1">(BO253+BO242)/BO242</f>
        <v>1.004</v>
      </c>
      <c r="BP254" s="1041">
        <v>1.004</v>
      </c>
      <c r="BQ254" s="1041">
        <v>1.004</v>
      </c>
      <c r="BR254" s="1041">
        <v>1.004</v>
      </c>
      <c r="BS254" s="816"/>
    </row>
    <row r="255" spans="1:71" s="223" customFormat="1" ht="15" customHeight="1" hidden="1" outlineLevel="1">
      <c r="A255" s="370"/>
      <c r="B255" s="500"/>
      <c r="C255" s="1039"/>
      <c r="D255" s="1039"/>
      <c r="E255" s="1039"/>
      <c r="F255" s="1039"/>
      <c r="G255" s="1039"/>
      <c r="H255" s="602"/>
      <c r="I255" s="602"/>
      <c r="J255" s="602"/>
      <c r="K255" s="602"/>
      <c r="L255" s="1039"/>
      <c r="M255" s="602"/>
      <c r="N255" s="602"/>
      <c r="O255" s="602"/>
      <c r="P255" s="602"/>
      <c r="Q255" s="1039"/>
      <c r="R255" s="602"/>
      <c r="S255" s="602"/>
      <c r="T255" s="602"/>
      <c r="U255" s="602"/>
      <c r="V255" s="1039"/>
      <c r="W255" s="602"/>
      <c r="X255" s="602"/>
      <c r="Y255" s="602"/>
      <c r="Z255" s="602"/>
      <c r="AA255" s="1039"/>
      <c r="AB255" s="602"/>
      <c r="AC255" s="602"/>
      <c r="AD255" s="602"/>
      <c r="AE255" s="602"/>
      <c r="AF255" s="1039"/>
      <c r="AG255" s="602"/>
      <c r="AH255" s="602"/>
      <c r="AI255" s="602"/>
      <c r="AJ255" s="602"/>
      <c r="AK255" s="1039"/>
      <c r="AL255" s="602"/>
      <c r="AM255" s="602"/>
      <c r="AN255" s="602"/>
      <c r="AO255" s="602"/>
      <c r="AP255" s="1039"/>
      <c r="AQ255" s="602"/>
      <c r="AR255" s="602"/>
      <c r="AS255" s="602"/>
      <c r="AT255" s="602"/>
      <c r="AU255" s="1039"/>
      <c r="AV255" s="602"/>
      <c r="AW255" s="602"/>
      <c r="AX255" s="602"/>
      <c r="AY255" s="602"/>
      <c r="AZ255" s="1039"/>
      <c r="BA255" s="602"/>
      <c r="BB255" s="602"/>
      <c r="BC255" s="602"/>
      <c r="BD255" s="602"/>
      <c r="BE255" s="1039"/>
      <c r="BF255" s="602"/>
      <c r="BG255" s="602"/>
      <c r="BH255" s="765"/>
      <c r="BI255" s="602"/>
      <c r="BJ255" s="1039"/>
      <c r="BK255" s="602"/>
      <c r="BL255" s="602"/>
      <c r="BM255" s="602"/>
      <c r="BN255" s="602"/>
      <c r="BO255" s="1039"/>
      <c r="BP255" s="1039"/>
      <c r="BQ255" s="1039"/>
      <c r="BR255" s="1039"/>
      <c r="BS255" s="816"/>
    </row>
    <row r="256" spans="1:71" s="223" customFormat="1" ht="15" customHeight="1" hidden="1" outlineLevel="1">
      <c r="A256" s="370" t="s">
        <v>474</v>
      </c>
      <c r="B256" s="500"/>
      <c r="C256" s="999">
        <f t="shared" si="600" ref="C256:AH256">C242+C253</f>
        <v>942.1579999999999</v>
      </c>
      <c r="D256" s="999">
        <f t="shared" si="600"/>
        <v>947.41599999999994</v>
      </c>
      <c r="E256" s="999">
        <f t="shared" si="600"/>
        <v>938.322</v>
      </c>
      <c r="F256" s="999">
        <f t="shared" si="600"/>
        <v>940.41</v>
      </c>
      <c r="G256" s="999">
        <f t="shared" si="600"/>
        <v>924.63800000000003</v>
      </c>
      <c r="H256" s="832">
        <f t="shared" si="600"/>
        <v>913.99200000000008</v>
      </c>
      <c r="I256" s="832">
        <f t="shared" si="600"/>
        <v>911.54199999999992</v>
      </c>
      <c r="J256" s="832">
        <f t="shared" si="600"/>
        <v>906.46800000000007</v>
      </c>
      <c r="K256" s="832">
        <f t="shared" si="600"/>
        <v>890.20999999999992</v>
      </c>
      <c r="L256" s="999">
        <f t="shared" si="600"/>
        <v>890.20999999999992</v>
      </c>
      <c r="M256" s="832">
        <f t="shared" si="600"/>
        <v>872.78400000000011</v>
      </c>
      <c r="N256" s="832">
        <f t="shared" si="600"/>
        <v>866.404</v>
      </c>
      <c r="O256" s="832">
        <f t="shared" si="600"/>
        <v>859.86799999999994</v>
      </c>
      <c r="P256" s="832">
        <f t="shared" si="600"/>
        <v>853.76</v>
      </c>
      <c r="Q256" s="999">
        <f t="shared" si="600"/>
        <v>853.76</v>
      </c>
      <c r="R256" s="832">
        <f t="shared" si="600"/>
        <v>834.75</v>
      </c>
      <c r="S256" s="832">
        <f t="shared" si="600"/>
        <v>825.17600000000004</v>
      </c>
      <c r="T256" s="832">
        <f t="shared" si="600"/>
        <v>821.28399999999999</v>
      </c>
      <c r="U256" s="832">
        <f t="shared" si="600"/>
        <v>816.68600000000004</v>
      </c>
      <c r="V256" s="999">
        <f t="shared" si="600"/>
        <v>816.68600000000004</v>
      </c>
      <c r="W256" s="832">
        <f t="shared" si="600"/>
        <v>801.88200000000006</v>
      </c>
      <c r="X256" s="832">
        <f t="shared" si="600"/>
        <v>797.82800000000009</v>
      </c>
      <c r="Y256" s="832">
        <f t="shared" si="600"/>
        <v>793.55399999999997</v>
      </c>
      <c r="Z256" s="832">
        <f t="shared" si="600"/>
        <v>786.67200000000003</v>
      </c>
      <c r="AA256" s="999">
        <f t="shared" si="600"/>
        <v>786.67200000000003</v>
      </c>
      <c r="AB256" s="832">
        <f t="shared" si="600"/>
        <v>781.05899999999997</v>
      </c>
      <c r="AC256" s="832">
        <f t="shared" si="600"/>
        <v>774.13000000000011</v>
      </c>
      <c r="AD256" s="832">
        <f t="shared" si="600"/>
        <v>768.13400000000013</v>
      </c>
      <c r="AE256" s="832">
        <f t="shared" si="600"/>
        <v>760.35199999999986</v>
      </c>
      <c r="AF256" s="999">
        <f t="shared" si="600"/>
        <v>760.35199999999986</v>
      </c>
      <c r="AG256" s="832">
        <f t="shared" si="600"/>
        <v>750.85399999999993</v>
      </c>
      <c r="AH256" s="832">
        <f t="shared" si="600"/>
        <v>744.16100000000006</v>
      </c>
      <c r="AI256" s="832">
        <f t="shared" si="601" ref="AI256:BJ256">AI242+AI253</f>
        <v>739.02599999999995</v>
      </c>
      <c r="AJ256" s="832">
        <f t="shared" si="601"/>
        <v>730.89800000000002</v>
      </c>
      <c r="AK256" s="999">
        <f t="shared" si="601"/>
        <v>730.89800000000002</v>
      </c>
      <c r="AL256" s="832">
        <f t="shared" si="601"/>
        <v>721.52799999999991</v>
      </c>
      <c r="AM256" s="832">
        <f t="shared" si="601"/>
        <v>715.78300000000002</v>
      </c>
      <c r="AN256" s="832">
        <f t="shared" si="601"/>
        <v>705.66899999999998</v>
      </c>
      <c r="AO256" s="832">
        <f t="shared" si="601"/>
        <v>695.29700000000003</v>
      </c>
      <c r="AP256" s="999">
        <f t="shared" si="601"/>
        <v>695.29700000000003</v>
      </c>
      <c r="AQ256" s="832">
        <f t="shared" si="601"/>
        <v>683.70900000000006</v>
      </c>
      <c r="AR256" s="832">
        <f t="shared" si="601"/>
        <v>674.86</v>
      </c>
      <c r="AS256" s="832">
        <f t="shared" si="601"/>
        <v>665.98</v>
      </c>
      <c r="AT256" s="832">
        <f t="shared" si="601"/>
        <v>655.54399999999987</v>
      </c>
      <c r="AU256" s="999">
        <f t="shared" si="601"/>
        <v>655.54399999999987</v>
      </c>
      <c r="AV256" s="832">
        <f t="shared" si="601"/>
        <v>648.423</v>
      </c>
      <c r="AW256" s="832">
        <f t="shared" si="601"/>
        <v>637.06200000000001</v>
      </c>
      <c r="AX256" s="832">
        <f t="shared" si="601"/>
        <v>626.46400000000006</v>
      </c>
      <c r="AY256" s="832">
        <f t="shared" si="601"/>
        <v>618.405</v>
      </c>
      <c r="AZ256" s="999">
        <f t="shared" si="601"/>
        <v>618.405</v>
      </c>
      <c r="BA256" s="832">
        <f t="shared" si="601"/>
        <v>608.697</v>
      </c>
      <c r="BB256" s="832">
        <f t="shared" si="601"/>
        <v>598.15600000000006</v>
      </c>
      <c r="BC256" s="832">
        <f t="shared" si="601"/>
        <v>589.24700000000007</v>
      </c>
      <c r="BD256" s="832">
        <f t="shared" si="601"/>
        <v>581.48400000000004</v>
      </c>
      <c r="BE256" s="999">
        <f t="shared" si="601"/>
        <v>581.48400000000004</v>
      </c>
      <c r="BF256" s="832">
        <f>BF242+BF253</f>
        <v>572.87400000000002</v>
      </c>
      <c r="BG256" s="832">
        <f>BG242+BG253</f>
        <v>563.63400000000001</v>
      </c>
      <c r="BH256" s="833">
        <f>BH242+BH253</f>
        <v>558.98199999999997</v>
      </c>
      <c r="BI256" s="832">
        <f ca="1">BI242+BI253</f>
        <v>558.94386799999995</v>
      </c>
      <c r="BJ256" s="999">
        <f t="shared" ca="1" si="601"/>
        <v>558.94386799999995</v>
      </c>
      <c r="BK256" s="832">
        <f ca="1" t="shared" si="602" ref="BK256:BR256">BK242+BK253</f>
        <v>558.94386799999995</v>
      </c>
      <c r="BL256" s="832">
        <f t="shared" ca="1" si="602"/>
        <v>558.94386799999995</v>
      </c>
      <c r="BM256" s="832">
        <f t="shared" ca="1" si="602"/>
        <v>558.94386799999995</v>
      </c>
      <c r="BN256" s="832">
        <f t="shared" ca="1" si="602"/>
        <v>558.94386799999995</v>
      </c>
      <c r="BO256" s="999">
        <f t="shared" ca="1" si="602"/>
        <v>558.94386799999995</v>
      </c>
      <c r="BP256" s="999">
        <f t="shared" ca="1" si="602"/>
        <v>558.94386799999995</v>
      </c>
      <c r="BQ256" s="999">
        <f t="shared" ca="1" si="602"/>
        <v>558.94386799999995</v>
      </c>
      <c r="BR256" s="999">
        <f t="shared" ca="1" si="602"/>
        <v>558.94386799999995</v>
      </c>
      <c r="BS256" s="816"/>
    </row>
    <row r="257" spans="1:71" s="223" customFormat="1" ht="15" customHeight="1" collapsed="1">
      <c r="A257" s="370"/>
      <c r="B257" s="500"/>
      <c r="C257" s="999"/>
      <c r="D257" s="999"/>
      <c r="E257" s="999"/>
      <c r="F257" s="999"/>
      <c r="G257" s="999"/>
      <c r="H257" s="832"/>
      <c r="I257" s="832"/>
      <c r="J257" s="832"/>
      <c r="K257" s="832"/>
      <c r="L257" s="999"/>
      <c r="M257" s="832"/>
      <c r="N257" s="832"/>
      <c r="O257" s="832"/>
      <c r="P257" s="832"/>
      <c r="Q257" s="999"/>
      <c r="R257" s="832"/>
      <c r="S257" s="832"/>
      <c r="T257" s="832"/>
      <c r="U257" s="832"/>
      <c r="V257" s="999"/>
      <c r="W257" s="832"/>
      <c r="X257" s="832"/>
      <c r="Y257" s="832"/>
      <c r="Z257" s="832"/>
      <c r="AA257" s="999"/>
      <c r="AB257" s="832"/>
      <c r="AC257" s="832"/>
      <c r="AD257" s="832"/>
      <c r="AE257" s="832"/>
      <c r="AF257" s="999"/>
      <c r="AG257" s="832"/>
      <c r="AH257" s="832"/>
      <c r="AI257" s="832"/>
      <c r="AJ257" s="832"/>
      <c r="AK257" s="999"/>
      <c r="AL257" s="832"/>
      <c r="AM257" s="832"/>
      <c r="AN257" s="832"/>
      <c r="AO257" s="832"/>
      <c r="AP257" s="999"/>
      <c r="AQ257" s="832"/>
      <c r="AR257" s="832"/>
      <c r="AS257" s="832"/>
      <c r="AT257" s="832"/>
      <c r="AU257" s="999"/>
      <c r="AV257" s="832"/>
      <c r="AW257" s="832"/>
      <c r="AX257" s="832"/>
      <c r="AY257" s="832"/>
      <c r="AZ257" s="999"/>
      <c r="BA257" s="832"/>
      <c r="BB257" s="832"/>
      <c r="BC257" s="832"/>
      <c r="BD257" s="832"/>
      <c r="BE257" s="999"/>
      <c r="BF257" s="832"/>
      <c r="BG257" s="832"/>
      <c r="BH257" s="833"/>
      <c r="BI257" s="832"/>
      <c r="BJ257" s="999"/>
      <c r="BK257" s="832"/>
      <c r="BL257" s="832"/>
      <c r="BM257" s="832"/>
      <c r="BN257" s="832"/>
      <c r="BO257" s="999"/>
      <c r="BP257" s="999"/>
      <c r="BQ257" s="999"/>
      <c r="BR257" s="999"/>
      <c r="BS257" s="816"/>
    </row>
    <row r="258" spans="1:71" s="43" customFormat="1" ht="15">
      <c r="A258" s="812" t="s">
        <v>88</v>
      </c>
      <c r="B258" s="812"/>
      <c r="C258" s="828"/>
      <c r="D258" s="828"/>
      <c r="E258" s="828"/>
      <c r="F258" s="828"/>
      <c r="G258" s="828"/>
      <c r="H258" s="828"/>
      <c r="I258" s="828"/>
      <c r="J258" s="828"/>
      <c r="K258" s="828"/>
      <c r="L258" s="828"/>
      <c r="M258" s="828"/>
      <c r="N258" s="828"/>
      <c r="O258" s="828"/>
      <c r="P258" s="828"/>
      <c r="Q258" s="828"/>
      <c r="R258" s="828"/>
      <c r="S258" s="828"/>
      <c r="T258" s="828"/>
      <c r="U258" s="828"/>
      <c r="V258" s="828"/>
      <c r="W258" s="828"/>
      <c r="X258" s="828"/>
      <c r="Y258" s="828"/>
      <c r="Z258" s="828"/>
      <c r="AA258" s="828"/>
      <c r="AB258" s="828"/>
      <c r="AC258" s="828"/>
      <c r="AD258" s="828"/>
      <c r="AE258" s="828"/>
      <c r="AF258" s="828"/>
      <c r="AG258" s="828"/>
      <c r="AH258" s="828"/>
      <c r="AI258" s="828"/>
      <c r="AJ258" s="828"/>
      <c r="AK258" s="828"/>
      <c r="AL258" s="828"/>
      <c r="AM258" s="828"/>
      <c r="AN258" s="828"/>
      <c r="AO258" s="828"/>
      <c r="AP258" s="828"/>
      <c r="AQ258" s="828"/>
      <c r="AR258" s="828"/>
      <c r="AS258" s="828"/>
      <c r="AT258" s="828"/>
      <c r="AU258" s="828"/>
      <c r="AV258" s="828"/>
      <c r="AW258" s="828"/>
      <c r="AX258" s="828"/>
      <c r="AY258" s="828"/>
      <c r="AZ258" s="828"/>
      <c r="BA258" s="828"/>
      <c r="BB258" s="828"/>
      <c r="BC258" s="828"/>
      <c r="BD258" s="828"/>
      <c r="BE258" s="828"/>
      <c r="BF258" s="828"/>
      <c r="BG258" s="828"/>
      <c r="BH258" s="829"/>
      <c r="BI258" s="828"/>
      <c r="BJ258" s="828"/>
      <c r="BK258" s="828"/>
      <c r="BL258" s="828"/>
      <c r="BM258" s="828"/>
      <c r="BN258" s="828"/>
      <c r="BO258" s="828"/>
      <c r="BP258" s="828"/>
      <c r="BQ258" s="828"/>
      <c r="BR258" s="828"/>
      <c r="BS258" s="475"/>
    </row>
    <row r="259" spans="1:71" s="224" customFormat="1" ht="15">
      <c r="A259" s="178" t="s">
        <v>89</v>
      </c>
      <c r="B259" s="363"/>
      <c r="C259" s="970">
        <f t="shared" si="603" ref="C259:AV259">+C399</f>
        <v>-524</v>
      </c>
      <c r="D259" s="970">
        <f t="shared" si="603"/>
        <v>-535</v>
      </c>
      <c r="E259" s="970">
        <f t="shared" si="603"/>
        <v>-552</v>
      </c>
      <c r="F259" s="970">
        <f t="shared" si="603"/>
        <v>-603</v>
      </c>
      <c r="G259" s="970">
        <f t="shared" si="603"/>
        <v>-635</v>
      </c>
      <c r="H259" s="229">
        <f t="shared" si="603"/>
        <v>-163</v>
      </c>
      <c r="I259" s="229">
        <f t="shared" si="603"/>
        <v>-161</v>
      </c>
      <c r="J259" s="229">
        <f t="shared" si="603"/>
        <v>-162</v>
      </c>
      <c r="K259" s="229">
        <f t="shared" si="603"/>
        <v>-168</v>
      </c>
      <c r="L259" s="970">
        <f t="shared" si="603"/>
        <v>-654</v>
      </c>
      <c r="M259" s="229">
        <f t="shared" si="603"/>
        <v>-165</v>
      </c>
      <c r="N259" s="229">
        <f t="shared" si="603"/>
        <v>-163</v>
      </c>
      <c r="O259" s="229">
        <f t="shared" si="603"/>
        <v>-161</v>
      </c>
      <c r="P259" s="229">
        <f t="shared" si="603"/>
        <v>-167</v>
      </c>
      <c r="Q259" s="970">
        <f t="shared" si="603"/>
        <v>-656</v>
      </c>
      <c r="R259" s="229">
        <f t="shared" si="603"/>
        <v>-167</v>
      </c>
      <c r="S259" s="229">
        <f t="shared" si="603"/>
        <v>-163</v>
      </c>
      <c r="T259" s="229">
        <f t="shared" si="603"/>
        <v>-162</v>
      </c>
      <c r="U259" s="229">
        <f t="shared" si="603"/>
        <v>-166</v>
      </c>
      <c r="V259" s="970">
        <f t="shared" si="603"/>
        <v>-658</v>
      </c>
      <c r="W259" s="229">
        <f t="shared" si="603"/>
        <v>-166</v>
      </c>
      <c r="X259" s="229">
        <f t="shared" si="603"/>
        <v>-162</v>
      </c>
      <c r="Y259" s="229">
        <f t="shared" si="603"/>
        <v>-163</v>
      </c>
      <c r="Z259" s="229">
        <f t="shared" si="603"/>
        <v>-170</v>
      </c>
      <c r="AA259" s="970">
        <f t="shared" si="603"/>
        <v>-661</v>
      </c>
      <c r="AB259" s="229">
        <f t="shared" si="603"/>
        <v>-195</v>
      </c>
      <c r="AC259" s="229">
        <f t="shared" si="603"/>
        <v>-201</v>
      </c>
      <c r="AD259" s="229">
        <f t="shared" si="603"/>
        <v>-199</v>
      </c>
      <c r="AE259" s="229">
        <f t="shared" si="603"/>
        <v>-198</v>
      </c>
      <c r="AF259" s="970">
        <f t="shared" si="603"/>
        <v>-793</v>
      </c>
      <c r="AG259" s="229">
        <f t="shared" si="603"/>
        <v>-195</v>
      </c>
      <c r="AH259" s="229">
        <f t="shared" si="603"/>
        <v>-194</v>
      </c>
      <c r="AI259" s="229">
        <f t="shared" si="603"/>
        <v>-190</v>
      </c>
      <c r="AJ259" s="229">
        <f t="shared" si="603"/>
        <v>-192</v>
      </c>
      <c r="AK259" s="970">
        <f t="shared" si="603"/>
        <v>-771</v>
      </c>
      <c r="AL259" s="176">
        <f t="shared" si="603"/>
        <v>-195</v>
      </c>
      <c r="AM259" s="176">
        <f t="shared" si="603"/>
        <v>-193</v>
      </c>
      <c r="AN259" s="176">
        <f t="shared" si="603"/>
        <v>-192</v>
      </c>
      <c r="AO259" s="176">
        <f t="shared" si="603"/>
        <v>-189</v>
      </c>
      <c r="AP259" s="971">
        <f>+AP399</f>
        <v>-769</v>
      </c>
      <c r="AQ259" s="176">
        <f t="shared" si="603"/>
        <v>-219</v>
      </c>
      <c r="AR259" s="176">
        <f t="shared" si="603"/>
        <v>-211</v>
      </c>
      <c r="AS259" s="176">
        <f t="shared" si="603"/>
        <v>-217</v>
      </c>
      <c r="AT259" s="176">
        <f t="shared" si="603"/>
        <v>-208</v>
      </c>
      <c r="AU259" s="971">
        <f>+AU399</f>
        <v>-855</v>
      </c>
      <c r="AV259" s="176">
        <f t="shared" si="603"/>
        <v>-250</v>
      </c>
      <c r="AW259" s="176">
        <f t="shared" si="604" ref="AW259:BG259">+AW399</f>
        <v>-248</v>
      </c>
      <c r="AX259" s="176">
        <f t="shared" si="604"/>
        <v>-242</v>
      </c>
      <c r="AY259" s="176">
        <f t="shared" si="604"/>
        <v>-239</v>
      </c>
      <c r="AZ259" s="971">
        <f t="shared" si="604"/>
        <v>-979</v>
      </c>
      <c r="BA259" s="176">
        <f t="shared" si="604"/>
        <v>-248</v>
      </c>
      <c r="BB259" s="176">
        <f t="shared" si="604"/>
        <v>-243</v>
      </c>
      <c r="BC259" s="176">
        <f>+BC399</f>
        <v>-239</v>
      </c>
      <c r="BD259" s="176">
        <f t="shared" si="604"/>
        <v>-236</v>
      </c>
      <c r="BE259" s="971">
        <f t="shared" si="604"/>
        <v>-966</v>
      </c>
      <c r="BF259" s="176">
        <f t="shared" si="604"/>
        <v>-278</v>
      </c>
      <c r="BG259" s="176">
        <f t="shared" si="604"/>
        <v>-272</v>
      </c>
      <c r="BH259" s="551">
        <f>+BH399</f>
        <v>-270</v>
      </c>
      <c r="BI259" s="176">
        <f ca="1">-BI260*BI237</f>
        <v>-278.35849999999999</v>
      </c>
      <c r="BJ259" s="971">
        <f ca="1">+BJ399</f>
        <v>-1098.3585</v>
      </c>
      <c r="BK259" s="176">
        <f ca="1">-BK260*BK237</f>
        <v>-278.35849999999999</v>
      </c>
      <c r="BL259" s="176">
        <f ca="1">-BL260*BL237</f>
        <v>-278.35849999999999</v>
      </c>
      <c r="BM259" s="176">
        <f ca="1">-BM260*BM237</f>
        <v>-278.35849999999999</v>
      </c>
      <c r="BN259" s="176">
        <f ca="1">-BN260*BN237</f>
        <v>-278.35849999999999</v>
      </c>
      <c r="BO259" s="971">
        <f ca="1">+BO399</f>
        <v>-1113.434</v>
      </c>
      <c r="BP259" s="971">
        <f ca="1">-BP260*BP237</f>
        <v>-1113.434</v>
      </c>
      <c r="BQ259" s="971">
        <f ca="1">-BQ260*BQ237</f>
        <v>-1113.434</v>
      </c>
      <c r="BR259" s="971">
        <f ca="1">-BR260*BR237</f>
        <v>-1113.434</v>
      </c>
      <c r="BS259" s="229"/>
    </row>
    <row r="260" spans="1:71" s="49" customFormat="1" ht="15">
      <c r="A260" s="358" t="s">
        <v>90</v>
      </c>
      <c r="B260" s="359"/>
      <c r="C260" s="1042">
        <f>1.12*0.5</f>
        <v>0.56000000000000005</v>
      </c>
      <c r="D260" s="1042">
        <f>1.14*0.5</f>
        <v>0.56999999999999995</v>
      </c>
      <c r="E260" s="1042">
        <f>0.5*1.23</f>
        <v>0.615</v>
      </c>
      <c r="F260" s="1042">
        <f>0.5*1.34</f>
        <v>0.67</v>
      </c>
      <c r="G260" s="1042">
        <f>0.5*1.42</f>
        <v>0.71</v>
      </c>
      <c r="H260" s="934">
        <f>0.5*0.37</f>
        <v>0.185</v>
      </c>
      <c r="I260" s="934">
        <f>0.5*0.37</f>
        <v>0.185</v>
      </c>
      <c r="J260" s="934">
        <f>0.5*0.37</f>
        <v>0.185</v>
      </c>
      <c r="K260" s="934">
        <f>0.5*0.39</f>
        <v>0.195</v>
      </c>
      <c r="L260" s="1043">
        <f>SUM(H260,I260,J260,K260)</f>
        <v>0.75</v>
      </c>
      <c r="M260" s="934">
        <f>0.5*0.39</f>
        <v>0.195</v>
      </c>
      <c r="N260" s="934">
        <f>0.5*0.39</f>
        <v>0.195</v>
      </c>
      <c r="O260" s="934">
        <f>0.5*0.39</f>
        <v>0.195</v>
      </c>
      <c r="P260" s="934">
        <f>0.5*0.41</f>
        <v>0.205</v>
      </c>
      <c r="Q260" s="1043">
        <f>SUM(M260,N260,O260,P260)</f>
        <v>0.78999999999999992</v>
      </c>
      <c r="R260" s="934">
        <f>0.5*0.41</f>
        <v>0.205</v>
      </c>
      <c r="S260" s="934">
        <f>0.5*0.41</f>
        <v>0.205</v>
      </c>
      <c r="T260" s="934">
        <f>0.5*0.41</f>
        <v>0.205</v>
      </c>
      <c r="U260" s="934">
        <f>0.5*0.43</f>
        <v>0.215</v>
      </c>
      <c r="V260" s="1043">
        <f>SUM(R260,S260,T260,U260)</f>
        <v>0.83</v>
      </c>
      <c r="W260" s="934">
        <f>0.5*0.43</f>
        <v>0.215</v>
      </c>
      <c r="X260" s="934">
        <f>0.5*0.43</f>
        <v>0.215</v>
      </c>
      <c r="Y260" s="934">
        <f>0.5*0.43</f>
        <v>0.215</v>
      </c>
      <c r="Z260" s="934">
        <f>0.5*0.45</f>
        <v>0.225</v>
      </c>
      <c r="AA260" s="1043">
        <f>SUM(W260,X260,Y260,Z260)</f>
        <v>0.87</v>
      </c>
      <c r="AB260" s="934">
        <v>0.26</v>
      </c>
      <c r="AC260" s="934">
        <v>0.26</v>
      </c>
      <c r="AD260" s="934">
        <v>0.26</v>
      </c>
      <c r="AE260" s="934">
        <v>0.26</v>
      </c>
      <c r="AF260" s="1043">
        <f>SUM(AB260,AC260,AD260,AE260)</f>
        <v>1.04</v>
      </c>
      <c r="AG260" s="934">
        <v>0.27000000000000002</v>
      </c>
      <c r="AH260" s="934">
        <v>0.27000000000000002</v>
      </c>
      <c r="AI260" s="934">
        <v>0.27000000000000002</v>
      </c>
      <c r="AJ260" s="934">
        <v>0.27000000000000002</v>
      </c>
      <c r="AK260" s="1043">
        <f>SUM(AG260,AH260,AI260,AJ260)</f>
        <v>1.0800000000000001</v>
      </c>
      <c r="AL260" s="935">
        <v>0.28000000000000003</v>
      </c>
      <c r="AM260" s="935">
        <v>0.28000000000000003</v>
      </c>
      <c r="AN260" s="935">
        <v>0.28000000000000003</v>
      </c>
      <c r="AO260" s="935">
        <v>0.28000000000000003</v>
      </c>
      <c r="AP260" s="1044">
        <f>SUM(AL260,AM260,AN260,AO260)</f>
        <v>1.1200000000000001</v>
      </c>
      <c r="AQ260" s="935">
        <v>0.33</v>
      </c>
      <c r="AR260" s="935">
        <v>0.33</v>
      </c>
      <c r="AS260" s="935">
        <v>0.33</v>
      </c>
      <c r="AT260" s="935">
        <v>0.33</v>
      </c>
      <c r="AU260" s="1044">
        <f>SUM(AQ260,AR260,AS260,AT260)</f>
        <v>1.32</v>
      </c>
      <c r="AV260" s="935">
        <v>0.40</v>
      </c>
      <c r="AW260" s="935">
        <v>0.40</v>
      </c>
      <c r="AX260" s="935">
        <v>0.40</v>
      </c>
      <c r="AY260" s="935">
        <v>0.40</v>
      </c>
      <c r="AZ260" s="1044">
        <f>SUM(AV260,AW260,AX260,AY260)</f>
        <v>1.60</v>
      </c>
      <c r="BA260" s="935">
        <v>0.42</v>
      </c>
      <c r="BB260" s="935">
        <v>0.42</v>
      </c>
      <c r="BC260" s="935">
        <v>0.42</v>
      </c>
      <c r="BD260" s="935">
        <v>0.42</v>
      </c>
      <c r="BE260" s="1044">
        <f>SUM(BA260,BB260,BC260,BD260)</f>
        <v>1.6800000000000002</v>
      </c>
      <c r="BF260" s="935">
        <v>0.50</v>
      </c>
      <c r="BG260" s="935">
        <v>0.50</v>
      </c>
      <c r="BH260" s="936">
        <v>0.50</v>
      </c>
      <c r="BI260" s="935">
        <v>0.50</v>
      </c>
      <c r="BJ260" s="1044">
        <f>SUM(BF260,BG260,BH260,BI260)</f>
        <v>2</v>
      </c>
      <c r="BK260" s="935">
        <v>0.50</v>
      </c>
      <c r="BL260" s="935">
        <v>0.50</v>
      </c>
      <c r="BM260" s="935">
        <v>0.50</v>
      </c>
      <c r="BN260" s="935">
        <v>0.50</v>
      </c>
      <c r="BO260" s="1044">
        <f>SUM(BK260,BL260,BM260,BN260)</f>
        <v>2</v>
      </c>
      <c r="BP260" s="1045">
        <v>2</v>
      </c>
      <c r="BQ260" s="1045">
        <v>2</v>
      </c>
      <c r="BR260" s="1045">
        <v>2</v>
      </c>
      <c r="BS260" s="244"/>
    </row>
    <row r="261" spans="1:71" s="48" customFormat="1" ht="15">
      <c r="A261" s="510"/>
      <c r="B261" s="509"/>
      <c r="C261" s="1046"/>
      <c r="D261" s="1046"/>
      <c r="E261" s="1047"/>
      <c r="F261" s="1047"/>
      <c r="G261" s="1047"/>
      <c r="H261" s="511"/>
      <c r="I261" s="511"/>
      <c r="J261" s="511"/>
      <c r="K261" s="511"/>
      <c r="L261" s="1047"/>
      <c r="M261" s="511"/>
      <c r="N261" s="511"/>
      <c r="O261" s="511"/>
      <c r="P261" s="511"/>
      <c r="Q261" s="1047"/>
      <c r="R261" s="511"/>
      <c r="S261" s="511"/>
      <c r="T261" s="511"/>
      <c r="U261" s="511"/>
      <c r="V261" s="1047"/>
      <c r="W261" s="511"/>
      <c r="X261" s="511"/>
      <c r="Y261" s="511"/>
      <c r="Z261" s="511"/>
      <c r="AA261" s="1047"/>
      <c r="AB261" s="511"/>
      <c r="AC261" s="511"/>
      <c r="AD261" s="511"/>
      <c r="AE261" s="511"/>
      <c r="AF261" s="1047"/>
      <c r="AG261" s="511"/>
      <c r="AH261" s="511"/>
      <c r="AI261" s="511"/>
      <c r="AJ261" s="511"/>
      <c r="AK261" s="1047"/>
      <c r="AL261" s="511"/>
      <c r="AM261" s="511"/>
      <c r="AN261" s="511"/>
      <c r="AO261" s="511"/>
      <c r="AP261" s="1047"/>
      <c r="AQ261" s="511"/>
      <c r="AR261" s="511"/>
      <c r="AS261" s="511"/>
      <c r="AT261" s="511"/>
      <c r="AU261" s="1047"/>
      <c r="AV261" s="511"/>
      <c r="AW261" s="511"/>
      <c r="AX261" s="511"/>
      <c r="AY261" s="511"/>
      <c r="AZ261" s="1047"/>
      <c r="BA261" s="511"/>
      <c r="BB261" s="511"/>
      <c r="BC261" s="511"/>
      <c r="BD261" s="511"/>
      <c r="BE261" s="1047"/>
      <c r="BF261" s="511"/>
      <c r="BG261" s="511"/>
      <c r="BH261" s="766"/>
      <c r="BI261" s="511"/>
      <c r="BJ261" s="1047"/>
      <c r="BK261" s="511"/>
      <c r="BL261" s="511"/>
      <c r="BM261" s="511"/>
      <c r="BN261" s="511"/>
      <c r="BO261" s="1047"/>
      <c r="BP261" s="1047"/>
      <c r="BQ261" s="1047"/>
      <c r="BR261" s="1047"/>
      <c r="BS261" s="96"/>
    </row>
    <row r="262" spans="1:71" s="46" customFormat="1" ht="15">
      <c r="A262" s="20" t="s">
        <v>91</v>
      </c>
      <c r="B262" s="512"/>
      <c r="C262" s="1048">
        <f t="shared" si="605" ref="C262:AH262">-C259/C222</f>
        <v>0.35003340013360051</v>
      </c>
      <c r="D262" s="1048">
        <f t="shared" si="605"/>
        <v>0.22824232081911264</v>
      </c>
      <c r="E262" s="1049">
        <f t="shared" si="605"/>
        <v>0.28497676819824469</v>
      </c>
      <c r="F262" s="1049">
        <f t="shared" si="605"/>
        <v>0.21039776692254011</v>
      </c>
      <c r="G262" s="1049">
        <f t="shared" si="605"/>
        <v>0.20107663077897403</v>
      </c>
      <c r="H262" s="21">
        <f t="shared" si="605"/>
        <v>0.2226775956284153</v>
      </c>
      <c r="I262" s="21">
        <f t="shared" si="605"/>
        <v>0.19876543209876543</v>
      </c>
      <c r="J262" s="21">
        <f t="shared" si="605"/>
        <v>0.22946175637393768</v>
      </c>
      <c r="K262" s="21">
        <f t="shared" si="605"/>
        <v>0.23897581792318634</v>
      </c>
      <c r="L262" s="1049">
        <f t="shared" si="605"/>
        <v>0.22161978990172823</v>
      </c>
      <c r="M262" s="21">
        <f t="shared" si="605"/>
        <v>0.24886877828054299</v>
      </c>
      <c r="N262" s="21">
        <f t="shared" si="605"/>
        <v>0.28446771378708552</v>
      </c>
      <c r="O262" s="21">
        <f t="shared" si="605"/>
        <v>0.2839506172839506</v>
      </c>
      <c r="P262" s="21">
        <f t="shared" si="605"/>
        <v>0.22876712328767124</v>
      </c>
      <c r="Q262" s="1049">
        <f t="shared" si="605"/>
        <v>0.25898144492696407</v>
      </c>
      <c r="R262" s="21">
        <f t="shared" si="605"/>
        <v>0.22845417236662108</v>
      </c>
      <c r="S262" s="21">
        <f t="shared" si="605"/>
        <v>0.29744525547445255</v>
      </c>
      <c r="T262" s="21">
        <f t="shared" si="605"/>
        <v>0.25755166931637519</v>
      </c>
      <c r="U262" s="21">
        <f t="shared" si="605"/>
        <v>0.22103861517976031</v>
      </c>
      <c r="V262" s="1049">
        <f t="shared" si="605"/>
        <v>0.24746145167356148</v>
      </c>
      <c r="W262" s="21">
        <f t="shared" si="605"/>
        <v>0.28040540540540543</v>
      </c>
      <c r="X262" s="21">
        <f t="shared" si="605"/>
        <v>0.22720897615708274</v>
      </c>
      <c r="Y262" s="21">
        <f t="shared" si="605"/>
        <v>0.2276536312849162</v>
      </c>
      <c r="Z262" s="21">
        <f t="shared" si="605"/>
        <v>0.065814943863724357</v>
      </c>
      <c r="AA262" s="1049">
        <f t="shared" si="605"/>
        <v>0.14357080799304953</v>
      </c>
      <c r="AB262" s="21">
        <f t="shared" si="605"/>
        <v>0.27196652719665271</v>
      </c>
      <c r="AC262" s="21">
        <f t="shared" si="605"/>
        <v>0.24158653846153846</v>
      </c>
      <c r="AD262" s="21">
        <f t="shared" si="605"/>
        <v>0.23550295857988165</v>
      </c>
      <c r="AE262" s="21">
        <f t="shared" si="605"/>
        <v>0.37642585551330798</v>
      </c>
      <c r="AF262" s="1049">
        <f t="shared" si="605"/>
        <v>0.27157534246575343</v>
      </c>
      <c r="AG262" s="21">
        <f t="shared" si="605"/>
        <v>0.2101293103448276</v>
      </c>
      <c r="AH262" s="21">
        <f t="shared" si="605"/>
        <v>0.23745410036719705</v>
      </c>
      <c r="AI262" s="21">
        <f t="shared" si="606" ref="AI262:BE262">-AI259/AI222</f>
        <v>0.24453024453024452</v>
      </c>
      <c r="AJ262" s="21">
        <f t="shared" si="606"/>
        <v>0.24552429667519182</v>
      </c>
      <c r="AK262" s="1049">
        <f t="shared" si="606"/>
        <v>0.23335351089588377</v>
      </c>
      <c r="AL262" s="58">
        <f t="shared" si="606"/>
        <v>0.34452296819787986</v>
      </c>
      <c r="AM262" s="58">
        <f t="shared" si="606"/>
        <v>0.23975155279503105</v>
      </c>
      <c r="AN262" s="58">
        <f t="shared" si="606"/>
        <v>0.078175895765472306</v>
      </c>
      <c r="AO262" s="58">
        <f t="shared" si="606"/>
        <v>0.19873817034700317</v>
      </c>
      <c r="AP262" s="1050">
        <f t="shared" si="606"/>
        <v>0.16094600251151109</v>
      </c>
      <c r="AQ262" s="58">
        <f t="shared" si="606"/>
        <v>0.16937354988399073</v>
      </c>
      <c r="AR262" s="58">
        <f t="shared" si="606"/>
        <v>0.19095022624434388</v>
      </c>
      <c r="AS262" s="58">
        <f t="shared" si="606"/>
        <v>0.24436936936936937</v>
      </c>
      <c r="AT262" s="58">
        <f t="shared" si="606"/>
        <v>0.20019249278152068</v>
      </c>
      <c r="AU262" s="1050">
        <f t="shared" si="606"/>
        <v>0.19768786127167631</v>
      </c>
      <c r="AV262" s="58">
        <f t="shared" si="606"/>
        <v>0.2387774594078319</v>
      </c>
      <c r="AW262" s="58">
        <f t="shared" si="606"/>
        <v>0.17790530846484937</v>
      </c>
      <c r="AX262" s="58">
        <f t="shared" si="606"/>
        <v>0.13587871982032565</v>
      </c>
      <c r="AY262" s="58">
        <f t="shared" si="606"/>
        <v>1.2193877551020409</v>
      </c>
      <c r="AZ262" s="1050">
        <f t="shared" si="606"/>
        <v>0.22159348121321865</v>
      </c>
      <c r="BA262" s="58">
        <f>-BA259/BA222</f>
        <v>0.20875420875420875</v>
      </c>
      <c r="BB262" s="58">
        <f>-BB259/BB222</f>
        <v>0.14871481028151776</v>
      </c>
      <c r="BC262" s="58">
        <f>-BC259/BC222</f>
        <v>0.15232632249840664</v>
      </c>
      <c r="BD262" s="58">
        <f t="shared" si="606"/>
        <v>0.88059701492537312</v>
      </c>
      <c r="BE262" s="1050">
        <f t="shared" si="606"/>
        <v>0.20734063103670317</v>
      </c>
      <c r="BF262" s="58">
        <f t="shared" si="607" ref="BF262:BR262">-BF259/BF222</f>
        <v>0.14795103778605642</v>
      </c>
      <c r="BG262" s="58">
        <f t="shared" si="607"/>
        <v>0.15498575498575498</v>
      </c>
      <c r="BH262" s="767">
        <f>-BH259/BH222</f>
        <v>-2.903225806451613</v>
      </c>
      <c r="BI262" s="58">
        <f t="shared" ca="1" si="607"/>
        <v>0.32886415299365623</v>
      </c>
      <c r="BJ262" s="1050">
        <f t="shared" ca="1" si="607"/>
        <v>0.25034245812760764</v>
      </c>
      <c r="BK262" s="58">
        <f t="shared" ca="1" si="607"/>
        <v>0.28677074449194384</v>
      </c>
      <c r="BL262" s="58">
        <f t="shared" ca="1" si="607"/>
        <v>0.28565250553016036</v>
      </c>
      <c r="BM262" s="58">
        <f t="shared" ca="1" si="607"/>
        <v>0.29286083119762168</v>
      </c>
      <c r="BN262" s="58">
        <f t="shared" ca="1" si="607"/>
        <v>0.26647451221410173</v>
      </c>
      <c r="BO262" s="1050">
        <f t="shared" ca="1" si="607"/>
        <v>0.28258249876498343</v>
      </c>
      <c r="BP262" s="1050">
        <f t="shared" ca="1" si="607"/>
        <v>0.26627139573391923</v>
      </c>
      <c r="BQ262" s="1050">
        <f t="shared" ca="1" si="607"/>
        <v>0.26971071759656112</v>
      </c>
      <c r="BR262" s="1050">
        <f t="shared" ca="1" si="607"/>
        <v>0.35714347330518487</v>
      </c>
      <c r="BS262" s="93"/>
    </row>
    <row r="263" spans="1:71" s="223" customFormat="1" ht="15">
      <c r="A263" s="814"/>
      <c r="B263" s="500"/>
      <c r="C263" s="999"/>
      <c r="D263" s="999"/>
      <c r="E263" s="999"/>
      <c r="F263" s="999"/>
      <c r="G263" s="999"/>
      <c r="H263" s="832"/>
      <c r="I263" s="832"/>
      <c r="J263" s="832"/>
      <c r="K263" s="832"/>
      <c r="L263" s="999"/>
      <c r="M263" s="832"/>
      <c r="N263" s="832"/>
      <c r="O263" s="832"/>
      <c r="P263" s="832"/>
      <c r="Q263" s="999"/>
      <c r="R263" s="832"/>
      <c r="S263" s="832"/>
      <c r="T263" s="832"/>
      <c r="U263" s="832"/>
      <c r="V263" s="999"/>
      <c r="W263" s="832"/>
      <c r="X263" s="832"/>
      <c r="Y263" s="832"/>
      <c r="Z263" s="832"/>
      <c r="AA263" s="999"/>
      <c r="AB263" s="832"/>
      <c r="AC263" s="832"/>
      <c r="AD263" s="832"/>
      <c r="AE263" s="832"/>
      <c r="AF263" s="999"/>
      <c r="AG263" s="832"/>
      <c r="AH263" s="832"/>
      <c r="AI263" s="832"/>
      <c r="AJ263" s="832"/>
      <c r="AK263" s="999"/>
      <c r="AL263" s="832"/>
      <c r="AM263" s="832"/>
      <c r="AN263" s="832"/>
      <c r="AO263" s="832"/>
      <c r="AP263" s="999"/>
      <c r="AQ263" s="832"/>
      <c r="AR263" s="832"/>
      <c r="AS263" s="832"/>
      <c r="AT263" s="832"/>
      <c r="AU263" s="999"/>
      <c r="AV263" s="832"/>
      <c r="AW263" s="832"/>
      <c r="AX263" s="832"/>
      <c r="AY263" s="832"/>
      <c r="AZ263" s="999"/>
      <c r="BA263" s="832"/>
      <c r="BB263" s="832"/>
      <c r="BC263" s="832"/>
      <c r="BD263" s="832"/>
      <c r="BE263" s="999"/>
      <c r="BF263" s="832"/>
      <c r="BG263" s="832"/>
      <c r="BH263" s="833"/>
      <c r="BI263" s="832"/>
      <c r="BJ263" s="999"/>
      <c r="BK263" s="832"/>
      <c r="BL263" s="832"/>
      <c r="BM263" s="832"/>
      <c r="BN263" s="832"/>
      <c r="BO263" s="999"/>
      <c r="BP263" s="999"/>
      <c r="BQ263" s="999"/>
      <c r="BR263" s="999"/>
      <c r="BS263" s="816"/>
    </row>
    <row r="264" spans="1:71" s="43" customFormat="1" ht="15">
      <c r="A264" s="812" t="s">
        <v>92</v>
      </c>
      <c r="B264" s="812"/>
      <c r="C264" s="828"/>
      <c r="D264" s="828"/>
      <c r="E264" s="828"/>
      <c r="F264" s="828"/>
      <c r="G264" s="828"/>
      <c r="H264" s="828"/>
      <c r="I264" s="828"/>
      <c r="J264" s="828"/>
      <c r="K264" s="828"/>
      <c r="L264" s="828"/>
      <c r="M264" s="828"/>
      <c r="N264" s="828"/>
      <c r="O264" s="828"/>
      <c r="P264" s="828"/>
      <c r="Q264" s="828"/>
      <c r="R264" s="828"/>
      <c r="S264" s="828"/>
      <c r="T264" s="828"/>
      <c r="U264" s="828"/>
      <c r="V264" s="828"/>
      <c r="W264" s="828"/>
      <c r="X264" s="828"/>
      <c r="Y264" s="828"/>
      <c r="Z264" s="828"/>
      <c r="AA264" s="828"/>
      <c r="AB264" s="828"/>
      <c r="AC264" s="828"/>
      <c r="AD264" s="828"/>
      <c r="AE264" s="828"/>
      <c r="AF264" s="828"/>
      <c r="AG264" s="828"/>
      <c r="AH264" s="828"/>
      <c r="AI264" s="828"/>
      <c r="AJ264" s="828"/>
      <c r="AK264" s="828"/>
      <c r="AL264" s="828"/>
      <c r="AM264" s="828"/>
      <c r="AN264" s="828"/>
      <c r="AO264" s="828"/>
      <c r="AP264" s="828"/>
      <c r="AQ264" s="828"/>
      <c r="AR264" s="828"/>
      <c r="AS264" s="828"/>
      <c r="AT264" s="828"/>
      <c r="AU264" s="828"/>
      <c r="AV264" s="828"/>
      <c r="AW264" s="828"/>
      <c r="AX264" s="828"/>
      <c r="AY264" s="828"/>
      <c r="AZ264" s="828"/>
      <c r="BA264" s="828"/>
      <c r="BB264" s="828"/>
      <c r="BC264" s="828"/>
      <c r="BD264" s="828"/>
      <c r="BE264" s="828"/>
      <c r="BF264" s="828"/>
      <c r="BG264" s="828"/>
      <c r="BH264" s="829"/>
      <c r="BI264" s="828"/>
      <c r="BJ264" s="828"/>
      <c r="BK264" s="828"/>
      <c r="BL264" s="828"/>
      <c r="BM264" s="828"/>
      <c r="BN264" s="828"/>
      <c r="BO264" s="828"/>
      <c r="BP264" s="828"/>
      <c r="BQ264" s="828"/>
      <c r="BR264" s="828"/>
      <c r="BS264" s="475"/>
    </row>
    <row r="265" spans="1:71" s="44" customFormat="1" ht="15">
      <c r="A265" s="100" t="s">
        <v>93</v>
      </c>
      <c r="B265" s="369"/>
      <c r="C265" s="977">
        <f t="shared" si="608" ref="C265:AM265">+C454</f>
        <v>8417</v>
      </c>
      <c r="D265" s="977">
        <f t="shared" si="608"/>
        <v>11056</v>
      </c>
      <c r="E265" s="977">
        <f t="shared" si="608"/>
        <v>12946</v>
      </c>
      <c r="F265" s="977">
        <f t="shared" si="608"/>
        <v>15978</v>
      </c>
      <c r="G265" s="977">
        <f t="shared" si="608"/>
        <v>14620</v>
      </c>
      <c r="H265" s="100">
        <f t="shared" si="608"/>
        <v>15676</v>
      </c>
      <c r="I265" s="100">
        <f t="shared" si="608"/>
        <v>17558</v>
      </c>
      <c r="J265" s="100">
        <f t="shared" si="608"/>
        <v>17853</v>
      </c>
      <c r="K265" s="100">
        <f t="shared" si="608"/>
        <v>18347</v>
      </c>
      <c r="L265" s="977">
        <f t="shared" si="608"/>
        <v>18347</v>
      </c>
      <c r="M265" s="100">
        <f t="shared" si="608"/>
        <v>18637</v>
      </c>
      <c r="N265" s="100">
        <f t="shared" si="608"/>
        <v>17018</v>
      </c>
      <c r="O265" s="100">
        <f t="shared" si="608"/>
        <v>17255</v>
      </c>
      <c r="P265" s="100">
        <f t="shared" si="608"/>
        <v>17708</v>
      </c>
      <c r="Q265" s="977">
        <f t="shared" si="608"/>
        <v>17708</v>
      </c>
      <c r="R265" s="100">
        <f t="shared" si="608"/>
        <v>20021</v>
      </c>
      <c r="S265" s="100">
        <f t="shared" si="608"/>
        <v>22550</v>
      </c>
      <c r="T265" s="100">
        <f t="shared" si="608"/>
        <v>22785</v>
      </c>
      <c r="U265" s="100">
        <f t="shared" si="608"/>
        <v>20482</v>
      </c>
      <c r="V265" s="977">
        <f t="shared" si="608"/>
        <v>20482</v>
      </c>
      <c r="W265" s="100">
        <f t="shared" si="608"/>
        <v>20340</v>
      </c>
      <c r="X265" s="100">
        <f t="shared" si="608"/>
        <v>21503</v>
      </c>
      <c r="Y265" s="100">
        <f t="shared" si="608"/>
        <v>21977</v>
      </c>
      <c r="Z265" s="100">
        <f t="shared" si="608"/>
        <v>24598</v>
      </c>
      <c r="AA265" s="977">
        <f t="shared" si="608"/>
        <v>24598</v>
      </c>
      <c r="AB265" s="100">
        <f t="shared" si="608"/>
        <v>24287</v>
      </c>
      <c r="AC265" s="100">
        <f t="shared" si="608"/>
        <v>23800</v>
      </c>
      <c r="AD265" s="100">
        <f t="shared" si="608"/>
        <v>23234</v>
      </c>
      <c r="AE265" s="100">
        <f t="shared" si="608"/>
        <v>23462</v>
      </c>
      <c r="AF265" s="977">
        <f t="shared" si="608"/>
        <v>23462</v>
      </c>
      <c r="AG265" s="100">
        <f t="shared" si="608"/>
        <v>26049</v>
      </c>
      <c r="AH265" s="100">
        <f t="shared" si="608"/>
        <v>28241</v>
      </c>
      <c r="AI265" s="100">
        <f t="shared" si="608"/>
        <v>29438</v>
      </c>
      <c r="AJ265" s="100">
        <f t="shared" si="608"/>
        <v>28959</v>
      </c>
      <c r="AK265" s="977">
        <f t="shared" si="608"/>
        <v>28959</v>
      </c>
      <c r="AL265" s="100">
        <f t="shared" si="608"/>
        <v>26402</v>
      </c>
      <c r="AM265" s="100">
        <f t="shared" si="608"/>
        <v>29420</v>
      </c>
      <c r="AN265" s="100">
        <f t="shared" si="609" ref="AN265:AQ265">+AN454</f>
        <v>32479</v>
      </c>
      <c r="AO265" s="100">
        <f t="shared" si="609"/>
        <v>33559</v>
      </c>
      <c r="AP265" s="977">
        <f t="shared" si="609"/>
        <v>33559</v>
      </c>
      <c r="AQ265" s="100">
        <f t="shared" si="609"/>
        <v>32103</v>
      </c>
      <c r="AR265" s="100">
        <f t="shared" si="610" ref="AR265:AW265">+AR454</f>
        <v>33735</v>
      </c>
      <c r="AS265" s="100">
        <f t="shared" si="610"/>
        <v>33552</v>
      </c>
      <c r="AT265" s="100">
        <f t="shared" si="610"/>
        <v>33253</v>
      </c>
      <c r="AU265" s="977">
        <f t="shared" si="610"/>
        <v>33253</v>
      </c>
      <c r="AV265" s="100">
        <f t="shared" si="610"/>
        <v>29527</v>
      </c>
      <c r="AW265" s="100">
        <f t="shared" si="610"/>
        <v>26387</v>
      </c>
      <c r="AX265" s="100">
        <f t="shared" si="611" ref="AX265:BC265">+AX454</f>
        <v>24152</v>
      </c>
      <c r="AY265" s="100">
        <f t="shared" si="611"/>
        <v>22365</v>
      </c>
      <c r="AZ265" s="977">
        <f t="shared" si="611"/>
        <v>22365</v>
      </c>
      <c r="BA265" s="100">
        <f t="shared" si="611"/>
        <v>19784</v>
      </c>
      <c r="BB265" s="100">
        <f t="shared" si="611"/>
        <v>20439</v>
      </c>
      <c r="BC265" s="100">
        <f t="shared" si="611"/>
        <v>22669</v>
      </c>
      <c r="BD265" s="100">
        <f>+BD454</f>
        <v>21985</v>
      </c>
      <c r="BE265" s="977">
        <f>+BE454</f>
        <v>21985</v>
      </c>
      <c r="BF265" s="100">
        <f>+BF454</f>
        <v>23537</v>
      </c>
      <c r="BG265" s="100">
        <f>+BG454</f>
        <v>26047</v>
      </c>
      <c r="BH265" s="741">
        <f>+BH454</f>
        <v>24830</v>
      </c>
      <c r="BI265" s="185">
        <f ca="1">BI454</f>
        <v>25398.065464017047</v>
      </c>
      <c r="BJ265" s="978">
        <f ca="1" t="shared" si="612" ref="BJ265">BJ454</f>
        <v>25398.065464017047</v>
      </c>
      <c r="BK265" s="185">
        <f ca="1" t="shared" si="613" ref="BK265:BR265">BK454</f>
        <v>26090.37257529881</v>
      </c>
      <c r="BL265" s="185">
        <f t="shared" ca="1" si="613"/>
        <v>26786.479534593054</v>
      </c>
      <c r="BM265" s="185">
        <f t="shared" ca="1" si="613"/>
        <v>27458.60150294959</v>
      </c>
      <c r="BN265" s="185">
        <f t="shared" ca="1" si="613"/>
        <v>28224.840092881961</v>
      </c>
      <c r="BO265" s="978">
        <f t="shared" ca="1" si="613"/>
        <v>28224.840092881961</v>
      </c>
      <c r="BP265" s="978">
        <f t="shared" ca="1" si="613"/>
        <v>31292.981800370406</v>
      </c>
      <c r="BQ265" s="978">
        <f t="shared" ca="1" si="613"/>
        <v>34307.800507278022</v>
      </c>
      <c r="BR265" s="978">
        <f t="shared" ca="1" si="613"/>
        <v>36311.97632860759</v>
      </c>
      <c r="BS265" s="100"/>
    </row>
    <row r="266" spans="1:71" s="44" customFormat="1" ht="15">
      <c r="A266" s="108" t="s">
        <v>94</v>
      </c>
      <c r="B266" s="369"/>
      <c r="C266" s="977">
        <f t="shared" si="614" ref="C266:AN266">+C265</f>
        <v>8417</v>
      </c>
      <c r="D266" s="977">
        <f t="shared" si="614"/>
        <v>11056</v>
      </c>
      <c r="E266" s="977">
        <f t="shared" si="614"/>
        <v>12946</v>
      </c>
      <c r="F266" s="977">
        <f t="shared" si="614"/>
        <v>15978</v>
      </c>
      <c r="G266" s="977">
        <f t="shared" si="614"/>
        <v>14620</v>
      </c>
      <c r="H266" s="100">
        <f t="shared" si="614"/>
        <v>15676</v>
      </c>
      <c r="I266" s="100">
        <f t="shared" si="614"/>
        <v>17558</v>
      </c>
      <c r="J266" s="100">
        <f t="shared" si="614"/>
        <v>17853</v>
      </c>
      <c r="K266" s="100">
        <f t="shared" si="614"/>
        <v>18347</v>
      </c>
      <c r="L266" s="977">
        <f t="shared" si="614"/>
        <v>18347</v>
      </c>
      <c r="M266" s="100">
        <f t="shared" si="614"/>
        <v>18637</v>
      </c>
      <c r="N266" s="100">
        <f t="shared" si="614"/>
        <v>17018</v>
      </c>
      <c r="O266" s="100">
        <f t="shared" si="614"/>
        <v>17255</v>
      </c>
      <c r="P266" s="100">
        <f t="shared" si="614"/>
        <v>17708</v>
      </c>
      <c r="Q266" s="977">
        <f t="shared" si="614"/>
        <v>17708</v>
      </c>
      <c r="R266" s="100">
        <f t="shared" si="614"/>
        <v>20021</v>
      </c>
      <c r="S266" s="100">
        <f t="shared" si="614"/>
        <v>22550</v>
      </c>
      <c r="T266" s="100">
        <f t="shared" si="614"/>
        <v>22785</v>
      </c>
      <c r="U266" s="100">
        <f t="shared" si="614"/>
        <v>20482</v>
      </c>
      <c r="V266" s="977">
        <f t="shared" si="614"/>
        <v>20482</v>
      </c>
      <c r="W266" s="100">
        <f t="shared" si="614"/>
        <v>20340</v>
      </c>
      <c r="X266" s="100">
        <f t="shared" si="614"/>
        <v>21503</v>
      </c>
      <c r="Y266" s="100">
        <f t="shared" si="614"/>
        <v>21977</v>
      </c>
      <c r="Z266" s="100">
        <f t="shared" si="614"/>
        <v>24598</v>
      </c>
      <c r="AA266" s="977">
        <f t="shared" si="614"/>
        <v>24598</v>
      </c>
      <c r="AB266" s="100">
        <f t="shared" si="614"/>
        <v>24287</v>
      </c>
      <c r="AC266" s="100">
        <f t="shared" si="614"/>
        <v>23800</v>
      </c>
      <c r="AD266" s="100">
        <f t="shared" si="614"/>
        <v>23234</v>
      </c>
      <c r="AE266" s="100">
        <f t="shared" si="614"/>
        <v>23462</v>
      </c>
      <c r="AF266" s="977">
        <f t="shared" si="614"/>
        <v>23462</v>
      </c>
      <c r="AG266" s="100">
        <f t="shared" si="614"/>
        <v>26049</v>
      </c>
      <c r="AH266" s="100">
        <f t="shared" si="614"/>
        <v>28241</v>
      </c>
      <c r="AI266" s="100">
        <f t="shared" si="614"/>
        <v>29438</v>
      </c>
      <c r="AJ266" s="100">
        <f t="shared" si="614"/>
        <v>28959</v>
      </c>
      <c r="AK266" s="977">
        <f t="shared" si="614"/>
        <v>28959</v>
      </c>
      <c r="AL266" s="100">
        <f t="shared" si="614"/>
        <v>26402</v>
      </c>
      <c r="AM266" s="100">
        <f t="shared" si="614"/>
        <v>29420</v>
      </c>
      <c r="AN266" s="100">
        <f t="shared" si="614"/>
        <v>32479</v>
      </c>
      <c r="AO266" s="100">
        <f t="shared" si="615" ref="AO266:AQ266">+AO265</f>
        <v>33559</v>
      </c>
      <c r="AP266" s="977">
        <f t="shared" si="615"/>
        <v>33559</v>
      </c>
      <c r="AQ266" s="100">
        <f t="shared" si="615"/>
        <v>32103</v>
      </c>
      <c r="AR266" s="100">
        <f t="shared" si="616" ref="AR266:AW266">+AR265</f>
        <v>33735</v>
      </c>
      <c r="AS266" s="100">
        <f t="shared" si="616"/>
        <v>33552</v>
      </c>
      <c r="AT266" s="100">
        <f t="shared" si="616"/>
        <v>33253</v>
      </c>
      <c r="AU266" s="977">
        <f t="shared" si="616"/>
        <v>33253</v>
      </c>
      <c r="AV266" s="100">
        <f t="shared" si="616"/>
        <v>29527</v>
      </c>
      <c r="AW266" s="100">
        <f t="shared" si="616"/>
        <v>26387</v>
      </c>
      <c r="AX266" s="100">
        <f t="shared" si="617" ref="AX266:BC266">+AX265</f>
        <v>24152</v>
      </c>
      <c r="AY266" s="100">
        <f t="shared" si="617"/>
        <v>22365</v>
      </c>
      <c r="AZ266" s="977">
        <f t="shared" si="617"/>
        <v>22365</v>
      </c>
      <c r="BA266" s="100">
        <f t="shared" si="617"/>
        <v>19784</v>
      </c>
      <c r="BB266" s="100">
        <f t="shared" si="617"/>
        <v>20439</v>
      </c>
      <c r="BC266" s="100">
        <f t="shared" si="617"/>
        <v>22669</v>
      </c>
      <c r="BD266" s="100">
        <f>+BD265</f>
        <v>21985</v>
      </c>
      <c r="BE266" s="977">
        <f>+BE265</f>
        <v>21985</v>
      </c>
      <c r="BF266" s="100">
        <f>+BF265</f>
        <v>23537</v>
      </c>
      <c r="BG266" s="100">
        <f>+BG265</f>
        <v>26047</v>
      </c>
      <c r="BH266" s="741">
        <f>+BH265</f>
        <v>24830</v>
      </c>
      <c r="BI266" s="185">
        <f ca="1">BI265</f>
        <v>25398.065464017047</v>
      </c>
      <c r="BJ266" s="978">
        <f ca="1" t="shared" si="618" ref="BJ266">BJ265</f>
        <v>25398.065464017047</v>
      </c>
      <c r="BK266" s="185">
        <f ca="1" t="shared" si="619" ref="BK266:BR266">BK265</f>
        <v>26090.37257529881</v>
      </c>
      <c r="BL266" s="185">
        <f t="shared" ca="1" si="619"/>
        <v>26786.479534593054</v>
      </c>
      <c r="BM266" s="185">
        <f t="shared" ca="1" si="619"/>
        <v>27458.60150294959</v>
      </c>
      <c r="BN266" s="185">
        <f t="shared" ca="1" si="619"/>
        <v>28224.840092881961</v>
      </c>
      <c r="BO266" s="978">
        <f t="shared" ca="1" si="619"/>
        <v>28224.840092881961</v>
      </c>
      <c r="BP266" s="978">
        <f t="shared" ca="1" si="619"/>
        <v>31292.981800370406</v>
      </c>
      <c r="BQ266" s="978">
        <f t="shared" ca="1" si="619"/>
        <v>34307.800507278022</v>
      </c>
      <c r="BR266" s="978">
        <f t="shared" ca="1" si="619"/>
        <v>36311.97632860759</v>
      </c>
      <c r="BS266" s="100"/>
    </row>
    <row r="267" spans="1:71" s="224" customFormat="1" ht="15" hidden="1" outlineLevel="1">
      <c r="A267" s="228" t="s">
        <v>169</v>
      </c>
      <c r="B267" s="363"/>
      <c r="C267" s="971"/>
      <c r="D267" s="971"/>
      <c r="E267" s="971"/>
      <c r="F267" s="971"/>
      <c r="G267" s="971"/>
      <c r="H267" s="176"/>
      <c r="I267" s="176"/>
      <c r="J267" s="176"/>
      <c r="K267" s="176"/>
      <c r="L267" s="971"/>
      <c r="M267" s="176"/>
      <c r="N267" s="176"/>
      <c r="O267" s="176"/>
      <c r="P267" s="176"/>
      <c r="Q267" s="971"/>
      <c r="R267" s="176"/>
      <c r="S267" s="176"/>
      <c r="T267" s="176"/>
      <c r="U267" s="229">
        <f>V267</f>
        <v>-1983</v>
      </c>
      <c r="V267" s="992">
        <v>-1983</v>
      </c>
      <c r="W267" s="891">
        <v>-1650</v>
      </c>
      <c r="X267" s="891">
        <v>-1580</v>
      </c>
      <c r="Y267" s="891">
        <v>-1715</v>
      </c>
      <c r="Z267" s="229">
        <f>AA267</f>
        <v>-1750</v>
      </c>
      <c r="AA267" s="992">
        <v>-1750</v>
      </c>
      <c r="AB267" s="891">
        <v>-1303</v>
      </c>
      <c r="AC267" s="891">
        <v>-1766</v>
      </c>
      <c r="AD267" s="891">
        <v>-2113</v>
      </c>
      <c r="AE267" s="229">
        <f>AF267</f>
        <v>-1847</v>
      </c>
      <c r="AF267" s="992">
        <v>-1847</v>
      </c>
      <c r="AG267" s="891">
        <v>-1848</v>
      </c>
      <c r="AH267" s="891">
        <v>-1455</v>
      </c>
      <c r="AI267" s="891">
        <v>-1479</v>
      </c>
      <c r="AJ267" s="229">
        <f>AK267</f>
        <v>-1623</v>
      </c>
      <c r="AK267" s="992">
        <v>-1623</v>
      </c>
      <c r="AL267" s="891">
        <v>-1543</v>
      </c>
      <c r="AM267" s="891">
        <v>-1469</v>
      </c>
      <c r="AN267" s="891">
        <v>-1290</v>
      </c>
      <c r="AO267" s="229">
        <f>AP267</f>
        <v>-1109</v>
      </c>
      <c r="AP267" s="992">
        <v>-1109</v>
      </c>
      <c r="AQ267" s="891">
        <v>-1674</v>
      </c>
      <c r="AR267" s="891">
        <v>-1661</v>
      </c>
      <c r="AS267" s="891">
        <v>-1760</v>
      </c>
      <c r="AT267" s="229">
        <f>AU267</f>
        <v>-2013</v>
      </c>
      <c r="AU267" s="992">
        <v>-2013</v>
      </c>
      <c r="AV267" s="891">
        <v>-2482</v>
      </c>
      <c r="AW267" s="891">
        <v>-3289</v>
      </c>
      <c r="AX267" s="891">
        <f>-4455-29</f>
        <v>-4484</v>
      </c>
      <c r="AY267" s="229">
        <f>AZ267</f>
        <v>-3640</v>
      </c>
      <c r="AZ267" s="992">
        <v>-3640</v>
      </c>
      <c r="BA267" s="891">
        <v>-3618</v>
      </c>
      <c r="BB267" s="891">
        <v>-4249</v>
      </c>
      <c r="BC267" s="891">
        <v>-4484</v>
      </c>
      <c r="BD267" s="229">
        <f>BE267</f>
        <v>-4069</v>
      </c>
      <c r="BE267" s="992">
        <v>-4069</v>
      </c>
      <c r="BF267" s="891">
        <v>-4666</v>
      </c>
      <c r="BG267" s="891">
        <v>-5091</v>
      </c>
      <c r="BH267" s="892">
        <v>-4139</v>
      </c>
      <c r="BI267" s="176">
        <f t="shared" si="620" ref="BI267:BR267">BI448</f>
        <v>-4139</v>
      </c>
      <c r="BJ267" s="971">
        <f t="shared" si="620"/>
        <v>-4139</v>
      </c>
      <c r="BK267" s="176">
        <f t="shared" si="620"/>
        <v>-4139</v>
      </c>
      <c r="BL267" s="176">
        <f t="shared" si="620"/>
        <v>-4139</v>
      </c>
      <c r="BM267" s="176">
        <f t="shared" si="620"/>
        <v>-4139</v>
      </c>
      <c r="BN267" s="176">
        <f t="shared" si="620"/>
        <v>-4139</v>
      </c>
      <c r="BO267" s="971">
        <f t="shared" si="620"/>
        <v>-4139</v>
      </c>
      <c r="BP267" s="971">
        <f t="shared" si="620"/>
        <v>-4139</v>
      </c>
      <c r="BQ267" s="971">
        <f t="shared" si="620"/>
        <v>-4139</v>
      </c>
      <c r="BR267" s="971">
        <f t="shared" si="620"/>
        <v>-4139</v>
      </c>
      <c r="BS267" s="229"/>
    </row>
    <row r="268" spans="1:71" s="224" customFormat="1" ht="15" hidden="1" outlineLevel="1">
      <c r="A268" s="228" t="s">
        <v>322</v>
      </c>
      <c r="B268" s="363"/>
      <c r="C268" s="971"/>
      <c r="D268" s="971"/>
      <c r="E268" s="971"/>
      <c r="F268" s="971"/>
      <c r="G268" s="971"/>
      <c r="H268" s="176"/>
      <c r="I268" s="176"/>
      <c r="J268" s="176"/>
      <c r="K268" s="176"/>
      <c r="L268" s="971"/>
      <c r="M268" s="176"/>
      <c r="N268" s="176"/>
      <c r="O268" s="176"/>
      <c r="P268" s="176"/>
      <c r="Q268" s="971"/>
      <c r="R268" s="176"/>
      <c r="S268" s="176"/>
      <c r="T268" s="176"/>
      <c r="U268" s="229">
        <f>V268</f>
        <v>4781</v>
      </c>
      <c r="V268" s="992">
        <v>4781</v>
      </c>
      <c r="W268" s="891">
        <v>4452</v>
      </c>
      <c r="X268" s="891">
        <v>5150</v>
      </c>
      <c r="Y268" s="891">
        <v>5414</v>
      </c>
      <c r="Z268" s="229">
        <f>AA268</f>
        <v>5941</v>
      </c>
      <c r="AA268" s="992">
        <v>5941</v>
      </c>
      <c r="AB268" s="891">
        <v>5185</v>
      </c>
      <c r="AC268" s="891">
        <v>4813</v>
      </c>
      <c r="AD268" s="891">
        <v>4216</v>
      </c>
      <c r="AE268" s="229">
        <f>AF268</f>
        <v>4210</v>
      </c>
      <c r="AF268" s="992">
        <v>4210</v>
      </c>
      <c r="AG268" s="891">
        <v>6535</v>
      </c>
      <c r="AH268" s="891">
        <v>8028</v>
      </c>
      <c r="AI268" s="891">
        <v>8937</v>
      </c>
      <c r="AJ268" s="229">
        <f>AK268</f>
        <v>8515</v>
      </c>
      <c r="AK268" s="992">
        <v>8515</v>
      </c>
      <c r="AL268" s="891">
        <v>6008</v>
      </c>
      <c r="AM268" s="891">
        <v>8496</v>
      </c>
      <c r="AN268" s="891">
        <v>9485</v>
      </c>
      <c r="AO268" s="229">
        <f>AP268</f>
        <v>10327</v>
      </c>
      <c r="AP268" s="992">
        <f>10361-34</f>
        <v>10327</v>
      </c>
      <c r="AQ268" s="891">
        <f>8794-33</f>
        <v>8761</v>
      </c>
      <c r="AR268" s="891">
        <f>9992-33</f>
        <v>9959</v>
      </c>
      <c r="AS268" s="891">
        <f>9731-31</f>
        <v>9700</v>
      </c>
      <c r="AT268" s="229">
        <f>AU268</f>
        <v>9572</v>
      </c>
      <c r="AU268" s="992">
        <f>9602-30</f>
        <v>9572</v>
      </c>
      <c r="AV268" s="891">
        <f>5787-29</f>
        <v>5758</v>
      </c>
      <c r="AW268" s="891">
        <f>2930-29</f>
        <v>2901</v>
      </c>
      <c r="AX268" s="891">
        <v>1131</v>
      </c>
      <c r="AY268" s="229">
        <f>AZ268</f>
        <v>-729</v>
      </c>
      <c r="AZ268" s="992">
        <v>-729</v>
      </c>
      <c r="BA268" s="891">
        <f>1289-26</f>
        <v>1263</v>
      </c>
      <c r="BB268" s="891">
        <f>1978-25</f>
        <v>1953</v>
      </c>
      <c r="BC268" s="891">
        <f>-403-24</f>
        <v>-427</v>
      </c>
      <c r="BD268" s="229">
        <f>BE268</f>
        <v>1117</v>
      </c>
      <c r="BE268" s="992">
        <v>1117</v>
      </c>
      <c r="BF268" s="891">
        <f>1092-26</f>
        <v>1066</v>
      </c>
      <c r="BG268" s="891">
        <f>401-22</f>
        <v>379</v>
      </c>
      <c r="BH268" s="892">
        <v>537</v>
      </c>
      <c r="BI268" s="176">
        <f t="shared" si="621" ref="BI268:BR268">BI450</f>
        <v>557</v>
      </c>
      <c r="BJ268" s="971">
        <f t="shared" si="621"/>
        <v>557</v>
      </c>
      <c r="BK268" s="176">
        <f t="shared" si="621"/>
        <v>557</v>
      </c>
      <c r="BL268" s="176">
        <f t="shared" si="621"/>
        <v>557</v>
      </c>
      <c r="BM268" s="176">
        <f t="shared" si="621"/>
        <v>557</v>
      </c>
      <c r="BN268" s="176">
        <f t="shared" si="621"/>
        <v>557</v>
      </c>
      <c r="BO268" s="971">
        <f t="shared" si="621"/>
        <v>557</v>
      </c>
      <c r="BP268" s="971">
        <f t="shared" si="621"/>
        <v>557</v>
      </c>
      <c r="BQ268" s="971">
        <f t="shared" si="621"/>
        <v>557</v>
      </c>
      <c r="BR268" s="971">
        <f t="shared" si="621"/>
        <v>557</v>
      </c>
      <c r="BS268" s="229"/>
    </row>
    <row r="269" spans="1:71" s="224" customFormat="1" ht="15" hidden="1" outlineLevel="1">
      <c r="A269" s="228" t="s">
        <v>457</v>
      </c>
      <c r="B269" s="363"/>
      <c r="C269" s="971"/>
      <c r="D269" s="971"/>
      <c r="E269" s="971"/>
      <c r="F269" s="971"/>
      <c r="G269" s="971"/>
      <c r="H269" s="176"/>
      <c r="I269" s="176"/>
      <c r="J269" s="176"/>
      <c r="K269" s="176"/>
      <c r="L269" s="971"/>
      <c r="M269" s="176"/>
      <c r="N269" s="176"/>
      <c r="O269" s="176"/>
      <c r="P269" s="176"/>
      <c r="Q269" s="971"/>
      <c r="R269" s="176"/>
      <c r="S269" s="176"/>
      <c r="T269" s="176"/>
      <c r="U269" s="176"/>
      <c r="V269" s="971"/>
      <c r="W269" s="176"/>
      <c r="X269" s="176"/>
      <c r="Y269" s="176"/>
      <c r="Z269" s="176"/>
      <c r="AA269" s="971"/>
      <c r="AB269" s="176"/>
      <c r="AC269" s="176"/>
      <c r="AD269" s="176"/>
      <c r="AE269" s="176"/>
      <c r="AF269" s="971"/>
      <c r="AG269" s="176"/>
      <c r="AH269" s="176"/>
      <c r="AI269" s="176"/>
      <c r="AJ269" s="176"/>
      <c r="AK269" s="971"/>
      <c r="AL269" s="176"/>
      <c r="AM269" s="176"/>
      <c r="AN269" s="176"/>
      <c r="AO269" s="176"/>
      <c r="AP269" s="971"/>
      <c r="AQ269" s="176"/>
      <c r="AR269" s="176"/>
      <c r="AS269" s="176"/>
      <c r="AT269" s="176"/>
      <c r="AU269" s="971"/>
      <c r="AV269" s="176"/>
      <c r="AW269" s="176"/>
      <c r="AX269" s="176"/>
      <c r="AY269" s="176"/>
      <c r="AZ269" s="971"/>
      <c r="BA269" s="891">
        <v>-4894</v>
      </c>
      <c r="BB269" s="891">
        <v>-5059</v>
      </c>
      <c r="BC269" s="891">
        <v>-866</v>
      </c>
      <c r="BD269" s="176">
        <f>BE269</f>
        <v>-2560</v>
      </c>
      <c r="BE269" s="992">
        <v>-2560</v>
      </c>
      <c r="BF269" s="891">
        <v>-1495</v>
      </c>
      <c r="BG269" s="891">
        <v>1425</v>
      </c>
      <c r="BH269" s="892">
        <v>-67</v>
      </c>
      <c r="BI269" s="176"/>
      <c r="BJ269" s="971"/>
      <c r="BK269" s="176"/>
      <c r="BL269" s="176"/>
      <c r="BM269" s="176"/>
      <c r="BN269" s="176"/>
      <c r="BO269" s="971"/>
      <c r="BP269" s="971"/>
      <c r="BQ269" s="971"/>
      <c r="BR269" s="971"/>
      <c r="BS269" s="229"/>
    </row>
    <row r="270" spans="1:71" s="224" customFormat="1" ht="15" hidden="1" outlineLevel="1">
      <c r="A270" s="107" t="s">
        <v>173</v>
      </c>
      <c r="B270" s="365"/>
      <c r="C270" s="973"/>
      <c r="D270" s="973"/>
      <c r="E270" s="973"/>
      <c r="F270" s="973"/>
      <c r="G270" s="973"/>
      <c r="H270" s="177"/>
      <c r="I270" s="177"/>
      <c r="J270" s="177"/>
      <c r="K270" s="177"/>
      <c r="L270" s="973"/>
      <c r="M270" s="177"/>
      <c r="N270" s="177"/>
      <c r="O270" s="177"/>
      <c r="P270" s="177"/>
      <c r="Q270" s="973"/>
      <c r="R270" s="177"/>
      <c r="S270" s="177"/>
      <c r="T270" s="177"/>
      <c r="U270" s="310">
        <f>V270</f>
        <v>-168</v>
      </c>
      <c r="V270" s="984">
        <v>-168</v>
      </c>
      <c r="W270" s="884">
        <v>-170</v>
      </c>
      <c r="X270" s="884">
        <v>-169</v>
      </c>
      <c r="Y270" s="884">
        <v>-168</v>
      </c>
      <c r="Z270" s="310">
        <f>AA270</f>
        <v>-163</v>
      </c>
      <c r="AA270" s="984">
        <v>-163</v>
      </c>
      <c r="AB270" s="884">
        <v>-197</v>
      </c>
      <c r="AC270" s="884">
        <v>-195</v>
      </c>
      <c r="AD270" s="884">
        <v>-194</v>
      </c>
      <c r="AE270" s="310">
        <f>AF270</f>
        <v>-212</v>
      </c>
      <c r="AF270" s="984">
        <v>-212</v>
      </c>
      <c r="AG270" s="884">
        <v>-206</v>
      </c>
      <c r="AH270" s="884">
        <v>-209</v>
      </c>
      <c r="AI270" s="884">
        <v>-207</v>
      </c>
      <c r="AJ270" s="310">
        <f>AK270</f>
        <v>-277</v>
      </c>
      <c r="AK270" s="984">
        <v>-277</v>
      </c>
      <c r="AL270" s="884">
        <v>-277</v>
      </c>
      <c r="AM270" s="884">
        <v>-277</v>
      </c>
      <c r="AN270" s="884">
        <v>-278</v>
      </c>
      <c r="AO270" s="310">
        <f>AP270</f>
        <v>-284</v>
      </c>
      <c r="AP270" s="984">
        <v>-284</v>
      </c>
      <c r="AQ270" s="884">
        <v>-280</v>
      </c>
      <c r="AR270" s="884">
        <v>-279</v>
      </c>
      <c r="AS270" s="884">
        <v>-278</v>
      </c>
      <c r="AT270" s="310">
        <f>AU270</f>
        <v>-166</v>
      </c>
      <c r="AU270" s="984">
        <v>-166</v>
      </c>
      <c r="AV270" s="884">
        <v>-163</v>
      </c>
      <c r="AW270" s="884">
        <v>-160</v>
      </c>
      <c r="AX270" s="884">
        <v>-158</v>
      </c>
      <c r="AY270" s="310">
        <f>AZ270</f>
        <v>-36</v>
      </c>
      <c r="AZ270" s="984">
        <v>-36</v>
      </c>
      <c r="BA270" s="884">
        <v>-29</v>
      </c>
      <c r="BB270" s="884">
        <v>17</v>
      </c>
      <c r="BC270" s="884">
        <v>17</v>
      </c>
      <c r="BD270" s="310">
        <f>BE270</f>
        <v>-8</v>
      </c>
      <c r="BE270" s="984">
        <v>-8</v>
      </c>
      <c r="BF270" s="884">
        <v>-7</v>
      </c>
      <c r="BG270" s="884">
        <v>-5</v>
      </c>
      <c r="BH270" s="905">
        <v>-8</v>
      </c>
      <c r="BI270" s="177">
        <f t="shared" si="622" ref="BI270:BR270">BI452</f>
        <v>-8</v>
      </c>
      <c r="BJ270" s="973">
        <f t="shared" si="622"/>
        <v>-8</v>
      </c>
      <c r="BK270" s="177">
        <f t="shared" si="622"/>
        <v>-8</v>
      </c>
      <c r="BL270" s="177">
        <f t="shared" si="622"/>
        <v>-8</v>
      </c>
      <c r="BM270" s="177">
        <f t="shared" si="622"/>
        <v>-8</v>
      </c>
      <c r="BN270" s="177">
        <f t="shared" si="622"/>
        <v>-8</v>
      </c>
      <c r="BO270" s="973">
        <f t="shared" si="622"/>
        <v>-8</v>
      </c>
      <c r="BP270" s="973">
        <f t="shared" si="622"/>
        <v>-8</v>
      </c>
      <c r="BQ270" s="973">
        <f t="shared" si="622"/>
        <v>-8</v>
      </c>
      <c r="BR270" s="973">
        <f t="shared" si="622"/>
        <v>-8</v>
      </c>
      <c r="BS270" s="229"/>
    </row>
    <row r="271" spans="1:71" s="44" customFormat="1" ht="15" collapsed="1">
      <c r="A271" s="100" t="s">
        <v>323</v>
      </c>
      <c r="B271" s="369"/>
      <c r="C271" s="977">
        <f t="shared" si="623" ref="C271:AN271">C266-SUM(C267:C270)</f>
        <v>8417</v>
      </c>
      <c r="D271" s="977">
        <f t="shared" si="623"/>
        <v>11056</v>
      </c>
      <c r="E271" s="977">
        <f t="shared" si="623"/>
        <v>12946</v>
      </c>
      <c r="F271" s="977">
        <f t="shared" si="623"/>
        <v>15978</v>
      </c>
      <c r="G271" s="977">
        <f t="shared" si="623"/>
        <v>14620</v>
      </c>
      <c r="H271" s="100">
        <f t="shared" si="623"/>
        <v>15676</v>
      </c>
      <c r="I271" s="100">
        <f t="shared" si="623"/>
        <v>17558</v>
      </c>
      <c r="J271" s="100">
        <f t="shared" si="623"/>
        <v>17853</v>
      </c>
      <c r="K271" s="100">
        <f t="shared" si="623"/>
        <v>18347</v>
      </c>
      <c r="L271" s="977">
        <f t="shared" si="623"/>
        <v>18347</v>
      </c>
      <c r="M271" s="100">
        <f t="shared" si="623"/>
        <v>18637</v>
      </c>
      <c r="N271" s="100">
        <f t="shared" si="623"/>
        <v>17018</v>
      </c>
      <c r="O271" s="100">
        <f t="shared" si="623"/>
        <v>17255</v>
      </c>
      <c r="P271" s="100">
        <f t="shared" si="623"/>
        <v>17708</v>
      </c>
      <c r="Q271" s="977">
        <f t="shared" si="623"/>
        <v>17708</v>
      </c>
      <c r="R271" s="100">
        <f t="shared" si="623"/>
        <v>20021</v>
      </c>
      <c r="S271" s="100">
        <f t="shared" si="623"/>
        <v>22550</v>
      </c>
      <c r="T271" s="100">
        <f t="shared" si="623"/>
        <v>22785</v>
      </c>
      <c r="U271" s="100">
        <f t="shared" si="623"/>
        <v>17852</v>
      </c>
      <c r="V271" s="977">
        <f t="shared" si="623"/>
        <v>17852</v>
      </c>
      <c r="W271" s="100">
        <f t="shared" si="623"/>
        <v>17708</v>
      </c>
      <c r="X271" s="100">
        <f t="shared" si="623"/>
        <v>18102</v>
      </c>
      <c r="Y271" s="100">
        <f t="shared" si="623"/>
        <v>18446</v>
      </c>
      <c r="Z271" s="100">
        <f t="shared" si="623"/>
        <v>20570</v>
      </c>
      <c r="AA271" s="977">
        <f t="shared" si="623"/>
        <v>20570</v>
      </c>
      <c r="AB271" s="100">
        <f t="shared" si="623"/>
        <v>20602</v>
      </c>
      <c r="AC271" s="100">
        <f t="shared" si="623"/>
        <v>20948</v>
      </c>
      <c r="AD271" s="100">
        <f t="shared" si="623"/>
        <v>21325</v>
      </c>
      <c r="AE271" s="100">
        <f t="shared" si="623"/>
        <v>21311</v>
      </c>
      <c r="AF271" s="977">
        <f t="shared" si="623"/>
        <v>21311</v>
      </c>
      <c r="AG271" s="100">
        <f t="shared" si="623"/>
        <v>21568</v>
      </c>
      <c r="AH271" s="100">
        <f t="shared" si="623"/>
        <v>21877</v>
      </c>
      <c r="AI271" s="100">
        <f t="shared" si="623"/>
        <v>22187</v>
      </c>
      <c r="AJ271" s="100">
        <f t="shared" si="623"/>
        <v>22344</v>
      </c>
      <c r="AK271" s="977">
        <f t="shared" si="623"/>
        <v>22344</v>
      </c>
      <c r="AL271" s="100">
        <f t="shared" si="623"/>
        <v>22214</v>
      </c>
      <c r="AM271" s="100">
        <f t="shared" si="623"/>
        <v>22670</v>
      </c>
      <c r="AN271" s="100">
        <f t="shared" si="623"/>
        <v>24562</v>
      </c>
      <c r="AO271" s="100">
        <f t="shared" si="624" ref="AO271:AP271">AO266-SUM(AO267:AO270)</f>
        <v>24625</v>
      </c>
      <c r="AP271" s="977">
        <f t="shared" si="624"/>
        <v>24625</v>
      </c>
      <c r="AQ271" s="100">
        <f t="shared" si="625" ref="AQ271">AQ266-SUM(AQ267:AQ270)</f>
        <v>25296</v>
      </c>
      <c r="AR271" s="100">
        <f t="shared" si="626" ref="AR271:AW271">AR266-SUM(AR267:AR270)</f>
        <v>25716</v>
      </c>
      <c r="AS271" s="100">
        <f t="shared" si="626"/>
        <v>25890</v>
      </c>
      <c r="AT271" s="100">
        <f t="shared" si="626"/>
        <v>25860</v>
      </c>
      <c r="AU271" s="977">
        <f t="shared" si="626"/>
        <v>25860</v>
      </c>
      <c r="AV271" s="100">
        <f t="shared" si="626"/>
        <v>26414</v>
      </c>
      <c r="AW271" s="100">
        <f t="shared" si="626"/>
        <v>26935</v>
      </c>
      <c r="AX271" s="100">
        <f t="shared" si="627" ref="AX271:AZ271">AX266-SUM(AX267:AX270)</f>
        <v>27663</v>
      </c>
      <c r="AY271" s="100">
        <f t="shared" si="627"/>
        <v>26770</v>
      </c>
      <c r="AZ271" s="977">
        <f t="shared" si="627"/>
        <v>26770</v>
      </c>
      <c r="BA271" s="100">
        <f t="shared" si="628" ref="BA271:BI271">BA266-SUM(BA267:BA270)</f>
        <v>27062</v>
      </c>
      <c r="BB271" s="100">
        <f t="shared" si="628"/>
        <v>27777</v>
      </c>
      <c r="BC271" s="100">
        <f t="shared" si="628"/>
        <v>28429</v>
      </c>
      <c r="BD271" s="100">
        <f t="shared" si="628"/>
        <v>27505</v>
      </c>
      <c r="BE271" s="977">
        <f t="shared" si="628"/>
        <v>27505</v>
      </c>
      <c r="BF271" s="100">
        <f>BF266-SUM(BF267:BF270)</f>
        <v>28639</v>
      </c>
      <c r="BG271" s="100">
        <f>BG266-SUM(BG267:BG270)</f>
        <v>29339</v>
      </c>
      <c r="BH271" s="741">
        <f>BH266-SUM(BH267:BH270)</f>
        <v>28507</v>
      </c>
      <c r="BI271" s="185">
        <f t="shared" ca="1" si="628"/>
        <v>28988.065464017047</v>
      </c>
      <c r="BJ271" s="978">
        <f ca="1" t="shared" si="629" ref="BJ271">BJ266-SUM(BJ267:BJ270)</f>
        <v>28988.065464017047</v>
      </c>
      <c r="BK271" s="185">
        <f ca="1" t="shared" si="630" ref="BK271:BR271">BK266-SUM(BK267:BK270)</f>
        <v>29680.37257529881</v>
      </c>
      <c r="BL271" s="185">
        <f t="shared" ca="1" si="630"/>
        <v>30376.479534593054</v>
      </c>
      <c r="BM271" s="185">
        <f t="shared" ca="1" si="630"/>
        <v>31048.60150294959</v>
      </c>
      <c r="BN271" s="185">
        <f t="shared" ca="1" si="630"/>
        <v>31814.840092881961</v>
      </c>
      <c r="BO271" s="978">
        <f t="shared" ca="1" si="630"/>
        <v>31814.840092881961</v>
      </c>
      <c r="BP271" s="978">
        <f t="shared" ca="1" si="630"/>
        <v>34882.981800370406</v>
      </c>
      <c r="BQ271" s="978">
        <f t="shared" ca="1" si="630"/>
        <v>37897.800507278022</v>
      </c>
      <c r="BR271" s="978">
        <f t="shared" ca="1" si="630"/>
        <v>39901.97632860759</v>
      </c>
      <c r="BS271" s="100"/>
    </row>
    <row r="272" spans="1:71" s="46" customFormat="1" ht="15">
      <c r="A272" s="513"/>
      <c r="B272" s="512"/>
      <c r="C272" s="979"/>
      <c r="D272" s="979"/>
      <c r="E272" s="979"/>
      <c r="F272" s="979"/>
      <c r="G272" s="979"/>
      <c r="H272" s="644"/>
      <c r="I272" s="644"/>
      <c r="J272" s="644"/>
      <c r="K272" s="644"/>
      <c r="L272" s="979"/>
      <c r="M272" s="644"/>
      <c r="N272" s="644"/>
      <c r="O272" s="644"/>
      <c r="P272" s="644"/>
      <c r="Q272" s="979"/>
      <c r="R272" s="644"/>
      <c r="S272" s="644"/>
      <c r="T272" s="644"/>
      <c r="U272" s="644"/>
      <c r="V272" s="979"/>
      <c r="W272" s="644"/>
      <c r="X272" s="644"/>
      <c r="Y272" s="644"/>
      <c r="Z272" s="644"/>
      <c r="AA272" s="979"/>
      <c r="AB272" s="644"/>
      <c r="AC272" s="644"/>
      <c r="AD272" s="644"/>
      <c r="AE272" s="644"/>
      <c r="AF272" s="979"/>
      <c r="AG272" s="644"/>
      <c r="AH272" s="644"/>
      <c r="AI272" s="644"/>
      <c r="AJ272" s="644"/>
      <c r="AK272" s="979"/>
      <c r="AL272" s="644"/>
      <c r="AM272" s="644"/>
      <c r="AN272" s="644"/>
      <c r="AO272" s="644"/>
      <c r="AP272" s="979"/>
      <c r="AQ272" s="644"/>
      <c r="AR272" s="644"/>
      <c r="AS272" s="644"/>
      <c r="AT272" s="644"/>
      <c r="AU272" s="979"/>
      <c r="AV272" s="644"/>
      <c r="AW272" s="644"/>
      <c r="AX272" s="644"/>
      <c r="AY272" s="644"/>
      <c r="AZ272" s="979"/>
      <c r="BA272" s="644"/>
      <c r="BB272" s="644"/>
      <c r="BC272" s="644"/>
      <c r="BD272" s="644"/>
      <c r="BE272" s="979"/>
      <c r="BF272" s="644"/>
      <c r="BG272" s="644"/>
      <c r="BH272" s="744"/>
      <c r="BI272" s="644"/>
      <c r="BJ272" s="979"/>
      <c r="BK272" s="644"/>
      <c r="BL272" s="644"/>
      <c r="BM272" s="644"/>
      <c r="BN272" s="644"/>
      <c r="BO272" s="979"/>
      <c r="BP272" s="979"/>
      <c r="BQ272" s="979"/>
      <c r="BR272" s="979"/>
      <c r="BS272" s="93"/>
    </row>
    <row r="273" spans="1:71" s="48" customFormat="1" ht="15">
      <c r="A273" s="102" t="s">
        <v>95</v>
      </c>
      <c r="B273" s="509"/>
      <c r="C273" s="1026">
        <f t="shared" si="631" ref="C273:AQ273">ROUND(INDEX(MO_BSS_TotalCommonEquity,0,COLUMN())/INDEX(MO_RIS_ShareCount_EoPB,0,COLUMN()),6)</f>
        <v>8.9816210000000005</v>
      </c>
      <c r="D273" s="1026">
        <f t="shared" si="631"/>
        <v>11.770192</v>
      </c>
      <c r="E273" s="1026">
        <f t="shared" si="631"/>
        <v>13.881323999999999</v>
      </c>
      <c r="F273" s="1026">
        <f t="shared" si="631"/>
        <v>17.078322</v>
      </c>
      <c r="G273" s="1026">
        <f t="shared" si="631"/>
        <v>15.911609</v>
      </c>
      <c r="H273" s="96">
        <f t="shared" si="631"/>
        <v>17.263252000000001</v>
      </c>
      <c r="I273" s="96">
        <f t="shared" si="631"/>
        <v>19.381830000000001</v>
      </c>
      <c r="J273" s="96">
        <f t="shared" si="631"/>
        <v>19.814693999999999</v>
      </c>
      <c r="K273" s="96">
        <f t="shared" si="631"/>
        <v>20.733650999999998</v>
      </c>
      <c r="L273" s="1026">
        <f t="shared" si="631"/>
        <v>20.733650999999998</v>
      </c>
      <c r="M273" s="96">
        <f t="shared" si="631"/>
        <v>21.482533</v>
      </c>
      <c r="N273" s="96">
        <f t="shared" si="631"/>
        <v>19.760019</v>
      </c>
      <c r="O273" s="96">
        <f t="shared" si="631"/>
        <v>20.178124</v>
      </c>
      <c r="P273" s="96">
        <f t="shared" si="631"/>
        <v>20.863377</v>
      </c>
      <c r="Q273" s="1026">
        <f t="shared" si="631"/>
        <v>20.863377</v>
      </c>
      <c r="R273" s="96">
        <f t="shared" si="631"/>
        <v>24.109893</v>
      </c>
      <c r="S273" s="96">
        <f t="shared" si="631"/>
        <v>27.492289</v>
      </c>
      <c r="T273" s="96">
        <f t="shared" si="631"/>
        <v>27.921357</v>
      </c>
      <c r="U273" s="96">
        <f t="shared" si="631"/>
        <v>25.235948</v>
      </c>
      <c r="V273" s="1026">
        <f t="shared" si="631"/>
        <v>25.235948</v>
      </c>
      <c r="W273" s="96">
        <f t="shared" si="631"/>
        <v>25.552634999999999</v>
      </c>
      <c r="X273" s="96">
        <f t="shared" si="631"/>
        <v>27.150321000000002</v>
      </c>
      <c r="Y273" s="96">
        <f t="shared" si="631"/>
        <v>27.898444999999999</v>
      </c>
      <c r="Z273" s="96">
        <f t="shared" si="631"/>
        <v>31.499148000000002</v>
      </c>
      <c r="AA273" s="1026">
        <f t="shared" si="631"/>
        <v>31.499148000000002</v>
      </c>
      <c r="AB273" s="96">
        <f t="shared" si="631"/>
        <v>31.307483999999999</v>
      </c>
      <c r="AC273" s="96">
        <f t="shared" si="631"/>
        <v>30.938341999999999</v>
      </c>
      <c r="AD273" s="96">
        <f t="shared" si="631"/>
        <v>30.446342999999999</v>
      </c>
      <c r="AE273" s="96">
        <f t="shared" si="631"/>
        <v>31.06373</v>
      </c>
      <c r="AF273" s="1026">
        <f t="shared" si="631"/>
        <v>31.06373</v>
      </c>
      <c r="AG273" s="96">
        <f t="shared" si="631"/>
        <v>34.895449999999997</v>
      </c>
      <c r="AH273" s="96">
        <f t="shared" si="631"/>
        <v>38.139547</v>
      </c>
      <c r="AI273" s="96">
        <f t="shared" si="631"/>
        <v>40.044618</v>
      </c>
      <c r="AJ273" s="96">
        <f t="shared" si="631"/>
        <v>39.844907999999997</v>
      </c>
      <c r="AK273" s="1026">
        <f t="shared" si="631"/>
        <v>39.844907999999997</v>
      </c>
      <c r="AL273" s="96">
        <f t="shared" si="631"/>
        <v>36.752034000000002</v>
      </c>
      <c r="AM273" s="96">
        <f t="shared" si="631"/>
        <v>41.209792</v>
      </c>
      <c r="AN273" s="96">
        <f t="shared" si="631"/>
        <v>46.162877000000002</v>
      </c>
      <c r="AO273" s="96">
        <f t="shared" si="631"/>
        <v>48.463869000000003</v>
      </c>
      <c r="AP273" s="1026">
        <f t="shared" si="631"/>
        <v>48.463869000000003</v>
      </c>
      <c r="AQ273" s="96">
        <f t="shared" si="631"/>
        <v>47.161259999999999</v>
      </c>
      <c r="AR273" s="96">
        <f t="shared" si="632" ref="AR273:AW273">ROUND(INDEX(MO_BSS_TotalCommonEquity,0,COLUMN())/INDEX(MO_RIS_ShareCount_EoPB,0,COLUMN()),6)</f>
        <v>50.201639999999998</v>
      </c>
      <c r="AS273" s="96">
        <f t="shared" si="632"/>
        <v>50.620306999999997</v>
      </c>
      <c r="AT273" s="96">
        <f t="shared" si="632"/>
        <v>50.991210000000002</v>
      </c>
      <c r="AU273" s="1026">
        <f t="shared" si="632"/>
        <v>50.991210000000002</v>
      </c>
      <c r="AV273" s="96">
        <f t="shared" si="632"/>
        <v>45.753537999999999</v>
      </c>
      <c r="AW273" s="96">
        <f t="shared" si="632"/>
        <v>41.585372</v>
      </c>
      <c r="AX273" s="96">
        <f t="shared" si="633" ref="AX273:BJ273">ROUND(INDEX(MO_BSS_TotalCommonEquity,0,COLUMN())/INDEX(MO_RIS_ShareCount_EoPB,0,COLUMN()),6)</f>
        <v>38.713318000000001</v>
      </c>
      <c r="AY273" s="96">
        <f t="shared" si="633"/>
        <v>36.350721999999998</v>
      </c>
      <c r="AZ273" s="1026">
        <f t="shared" si="633"/>
        <v>36.350721999999998</v>
      </c>
      <c r="BA273" s="96">
        <f t="shared" si="634" ref="BA273:BI273">ROUND(INDEX(MO_BSS_TotalCommonEquity,0,COLUMN())/INDEX(MO_RIS_ShareCount_EoPB,0,COLUMN()),6)</f>
        <v>32.649450999999999</v>
      </c>
      <c r="BB273" s="96">
        <f t="shared" si="634"/>
        <v>34.295408000000002</v>
      </c>
      <c r="BC273" s="96">
        <f t="shared" si="634"/>
        <v>38.625176000000003</v>
      </c>
      <c r="BD273" s="96">
        <f t="shared" si="634"/>
        <v>38.004837000000002</v>
      </c>
      <c r="BE273" s="1026">
        <f t="shared" si="634"/>
        <v>38.004837000000002</v>
      </c>
      <c r="BF273" s="96">
        <f>ROUND(INDEX(MO_BSS_TotalCommonEquity,0,COLUMN())/INDEX(MO_RIS_ShareCount_EoPB,0,COLUMN()),6)</f>
        <v>41.272852999999998</v>
      </c>
      <c r="BG273" s="96">
        <f>ROUND(INDEX(MO_BSS_TotalCommonEquity,0,COLUMN())/INDEX(MO_RIS_ShareCount_EoPB,0,COLUMN()),6)</f>
        <v>46.399070999999999</v>
      </c>
      <c r="BH273" s="826">
        <f>ROUND(INDEX(MO_BSS_TotalCommonEquity,0,COLUMN())/INDEX(MO_RIS_ShareCount_EoPB,0,COLUMN()),6)</f>
        <v>44.600757999999999</v>
      </c>
      <c r="BI273" s="57">
        <f t="shared" ca="1" si="634"/>
        <v>45.621141999999999</v>
      </c>
      <c r="BJ273" s="1027">
        <f t="shared" ca="1" si="633"/>
        <v>45.621141999999999</v>
      </c>
      <c r="BK273" s="57">
        <f ca="1" t="shared" si="635" ref="BK273:BR273">ROUND(INDEX(MO_BSS_TotalCommonEquity,0,COLUMN())/INDEX(MO_RIS_ShareCount_EoPB,0,COLUMN()),6)</f>
        <v>46.864694999999998</v>
      </c>
      <c r="BL273" s="57">
        <f t="shared" ca="1" si="635"/>
        <v>48.115074</v>
      </c>
      <c r="BM273" s="57">
        <f t="shared" ca="1" si="635"/>
        <v>49.322369000000002</v>
      </c>
      <c r="BN273" s="57">
        <f t="shared" ca="1" si="635"/>
        <v>50.698720999999999</v>
      </c>
      <c r="BO273" s="1027">
        <f t="shared" ca="1" si="635"/>
        <v>50.698720999999999</v>
      </c>
      <c r="BP273" s="1027">
        <f t="shared" ca="1" si="635"/>
        <v>56.209854999999997</v>
      </c>
      <c r="BQ273" s="1027">
        <f t="shared" ca="1" si="635"/>
        <v>61.625207000000003</v>
      </c>
      <c r="BR273" s="1027">
        <f t="shared" ca="1" si="635"/>
        <v>65.225198000000006</v>
      </c>
      <c r="BS273" s="96"/>
    </row>
    <row r="274" spans="1:71" s="53" customFormat="1" ht="15">
      <c r="A274" s="166" t="str">
        <f>CONCATENATE("Consensus Estimates - ",IFERROR(LEFT(A273,FIND("(",A273)-1),A273))</f>
        <v>Consensus Estimates - Book Value per Common Share</v>
      </c>
      <c r="B274" s="180"/>
      <c r="C274" s="1028"/>
      <c r="D274" s="1028"/>
      <c r="E274" s="1028"/>
      <c r="F274" s="1028"/>
      <c r="G274" s="1028"/>
      <c r="H274" s="168"/>
      <c r="I274" s="168"/>
      <c r="J274" s="168"/>
      <c r="K274" s="168"/>
      <c r="L274" s="1028"/>
      <c r="M274" s="168"/>
      <c r="N274" s="168"/>
      <c r="O274" s="168"/>
      <c r="P274" s="168"/>
      <c r="Q274" s="1028"/>
      <c r="R274" s="168"/>
      <c r="S274" s="169"/>
      <c r="T274" s="168"/>
      <c r="U274" s="168"/>
      <c r="V274" s="1028"/>
      <c r="W274" s="168"/>
      <c r="X274" s="169"/>
      <c r="Y274" s="168"/>
      <c r="Z274" s="168"/>
      <c r="AA274" s="1028"/>
      <c r="AB274" s="168"/>
      <c r="AC274" s="169"/>
      <c r="AD274" s="168"/>
      <c r="AE274" s="168"/>
      <c r="AF274" s="1028"/>
      <c r="AG274" s="168"/>
      <c r="AH274" s="169"/>
      <c r="AI274" s="168"/>
      <c r="AJ274" s="168"/>
      <c r="AK274" s="1028"/>
      <c r="AL274" s="168"/>
      <c r="AM274" s="169"/>
      <c r="AN274" s="168"/>
      <c r="AO274" s="168"/>
      <c r="AP274" s="1028"/>
      <c r="AQ274" s="168"/>
      <c r="AR274" s="169"/>
      <c r="AS274" s="168"/>
      <c r="AT274" s="168"/>
      <c r="AU274" s="1028"/>
      <c r="AV274" s="168"/>
      <c r="AW274" s="169"/>
      <c r="AX274" s="168"/>
      <c r="AY274" s="168"/>
      <c r="AZ274" s="1028"/>
      <c r="BA274" s="168"/>
      <c r="BB274" s="169"/>
      <c r="BC274" s="168"/>
      <c r="BD274" s="168"/>
      <c r="BE274" s="1028"/>
      <c r="BF274" s="168"/>
      <c r="BG274" s="169"/>
      <c r="BH274" s="804"/>
      <c r="BI274" s="788" t="str">
        <f ca="1" t="shared" si="636" ref="BI274:BO274">IFERROR(VLOOKUP($A274,tb_ConsensusEstimate,MATCH(BI$5,OFFSET(tb_ConsensusEstimate,0,0,1,COLUMNS(tb_ConsensusEstimate)),0),FALSE),"-")</f>
        <v>N/A</v>
      </c>
      <c r="BJ274" s="1029" t="str">
        <f t="shared" ca="1" si="636"/>
        <v>N/A</v>
      </c>
      <c r="BK274" s="788" t="str">
        <f t="shared" ca="1" si="636"/>
        <v>N/A</v>
      </c>
      <c r="BL274" s="788" t="str">
        <f t="shared" ca="1" si="636"/>
        <v>N/A</v>
      </c>
      <c r="BM274" s="788" t="str">
        <f t="shared" ca="1" si="636"/>
        <v>N/A</v>
      </c>
      <c r="BN274" s="788" t="str">
        <f t="shared" ca="1" si="636"/>
        <v>N/A</v>
      </c>
      <c r="BO274" s="1029" t="str">
        <f t="shared" ca="1" si="636"/>
        <v>N/A</v>
      </c>
      <c r="BP274" s="1029" t="str">
        <f ca="1">IFERROR(VLOOKUP($A274,tb_ConsensusEstimate,MATCH(BP5,OFFSET(tb_ConsensusEstimate,0,0,1,COLUMNS(tb_ConsensusEstimate)),0),FALSE),"-")</f>
        <v>N/A</v>
      </c>
      <c r="BQ274" s="1029" t="str">
        <f ca="1">IFERROR(VLOOKUP($A274,tb_ConsensusEstimate,MATCH(BQ5,OFFSET(tb_ConsensusEstimate,0,0,1,COLUMNS(tb_ConsensusEstimate)),0),FALSE),"-")</f>
        <v>N/A</v>
      </c>
      <c r="BR274" s="1029" t="str">
        <f ca="1">IFERROR(VLOOKUP($A274,tb_ConsensusEstimate,MATCH(BR5,OFFSET(tb_ConsensusEstimate,0,0,1,COLUMNS(tb_ConsensusEstimate)),0),FALSE),"-")</f>
        <v>N/A</v>
      </c>
      <c r="BS274" s="168"/>
    </row>
    <row r="275" spans="1:71" s="50" customFormat="1" ht="15">
      <c r="A275" s="103" t="s">
        <v>324</v>
      </c>
      <c r="B275" s="514"/>
      <c r="C275" s="1051">
        <f t="shared" si="637" ref="C275:AQ275">ROUND(INDEX(MO_BSS_AdjustedCommonEquity,0,COLUMN())/INDEX(MO_RIS_ShareCount_EoPB,0,COLUMN()),6)</f>
        <v>8.9816210000000005</v>
      </c>
      <c r="D275" s="1051">
        <f t="shared" si="637"/>
        <v>11.770192</v>
      </c>
      <c r="E275" s="1051">
        <f t="shared" si="637"/>
        <v>13.881323999999999</v>
      </c>
      <c r="F275" s="1051">
        <f t="shared" si="637"/>
        <v>17.078322</v>
      </c>
      <c r="G275" s="1051">
        <f t="shared" si="637"/>
        <v>15.911609</v>
      </c>
      <c r="H275" s="297">
        <f t="shared" si="637"/>
        <v>17.263252000000001</v>
      </c>
      <c r="I275" s="297">
        <f t="shared" si="637"/>
        <v>19.381830000000001</v>
      </c>
      <c r="J275" s="297">
        <f t="shared" si="637"/>
        <v>19.814693999999999</v>
      </c>
      <c r="K275" s="297">
        <f t="shared" si="637"/>
        <v>20.733650999999998</v>
      </c>
      <c r="L275" s="1051">
        <f t="shared" si="637"/>
        <v>20.733650999999998</v>
      </c>
      <c r="M275" s="297">
        <f t="shared" si="637"/>
        <v>21.482533</v>
      </c>
      <c r="N275" s="297">
        <f t="shared" si="637"/>
        <v>19.760019</v>
      </c>
      <c r="O275" s="297">
        <f t="shared" si="637"/>
        <v>20.178124</v>
      </c>
      <c r="P275" s="297">
        <f t="shared" si="637"/>
        <v>20.863377</v>
      </c>
      <c r="Q275" s="1051">
        <f t="shared" si="637"/>
        <v>20.863377</v>
      </c>
      <c r="R275" s="297">
        <f t="shared" si="637"/>
        <v>24.109893</v>
      </c>
      <c r="S275" s="297">
        <f t="shared" si="637"/>
        <v>27.492289</v>
      </c>
      <c r="T275" s="297">
        <f t="shared" si="637"/>
        <v>27.921357</v>
      </c>
      <c r="U275" s="297">
        <f t="shared" si="637"/>
        <v>21.995515000000001</v>
      </c>
      <c r="V275" s="1051">
        <f t="shared" si="637"/>
        <v>21.995515000000001</v>
      </c>
      <c r="W275" s="297">
        <f t="shared" si="637"/>
        <v>22.246119</v>
      </c>
      <c r="X275" s="297">
        <f t="shared" si="637"/>
        <v>22.856117999999999</v>
      </c>
      <c r="Y275" s="297">
        <f t="shared" si="637"/>
        <v>23.416058</v>
      </c>
      <c r="Z275" s="297">
        <f t="shared" si="637"/>
        <v>26.341063999999999</v>
      </c>
      <c r="AA275" s="1051">
        <f t="shared" si="637"/>
        <v>26.341063999999999</v>
      </c>
      <c r="AB275" s="297">
        <f t="shared" si="637"/>
        <v>26.557285</v>
      </c>
      <c r="AC275" s="297">
        <f t="shared" si="637"/>
        <v>27.23094</v>
      </c>
      <c r="AD275" s="297">
        <f t="shared" si="637"/>
        <v>27.944747</v>
      </c>
      <c r="AE275" s="297">
        <f t="shared" si="637"/>
        <v>28.215802</v>
      </c>
      <c r="AF275" s="1051">
        <f t="shared" si="637"/>
        <v>28.215802</v>
      </c>
      <c r="AG275" s="297">
        <f t="shared" si="637"/>
        <v>28.892666999999999</v>
      </c>
      <c r="AH275" s="297">
        <f t="shared" si="637"/>
        <v>29.544948000000002</v>
      </c>
      <c r="AI275" s="297">
        <f t="shared" si="637"/>
        <v>30.181056000000002</v>
      </c>
      <c r="AJ275" s="297">
        <f t="shared" si="637"/>
        <v>30.743279000000001</v>
      </c>
      <c r="AK275" s="1051">
        <f t="shared" si="637"/>
        <v>30.743279000000001</v>
      </c>
      <c r="AL275" s="297">
        <f t="shared" si="637"/>
        <v>30.922267000000002</v>
      </c>
      <c r="AM275" s="297">
        <f t="shared" si="637"/>
        <v>31.754791999999998</v>
      </c>
      <c r="AN275" s="297">
        <f t="shared" si="637"/>
        <v>34.910328999999997</v>
      </c>
      <c r="AO275" s="297">
        <f t="shared" si="637"/>
        <v>35.561928999999999</v>
      </c>
      <c r="AP275" s="1051">
        <f t="shared" si="637"/>
        <v>35.561928999999999</v>
      </c>
      <c r="AQ275" s="297">
        <f t="shared" si="637"/>
        <v>37.161363000000001</v>
      </c>
      <c r="AR275" s="297">
        <f t="shared" si="638" ref="AR275:AW275">ROUND(INDEX(MO_BSS_AdjustedCommonEquity,0,COLUMN())/INDEX(MO_RIS_ShareCount_EoPB,0,COLUMN()),6)</f>
        <v>38.268427000000003</v>
      </c>
      <c r="AS275" s="297">
        <f t="shared" si="638"/>
        <v>39.060555000000001</v>
      </c>
      <c r="AT275" s="297">
        <f t="shared" si="638"/>
        <v>39.654547999999998</v>
      </c>
      <c r="AU275" s="1051">
        <f t="shared" si="638"/>
        <v>39.654547999999998</v>
      </c>
      <c r="AV275" s="297">
        <f t="shared" si="638"/>
        <v>40.929791000000002</v>
      </c>
      <c r="AW275" s="297">
        <f t="shared" si="638"/>
        <v>42.449008999999997</v>
      </c>
      <c r="AX275" s="297">
        <f t="shared" si="639" ref="AX275:BJ275">ROUND(INDEX(MO_BSS_AdjustedCommonEquity,0,COLUMN())/INDEX(MO_RIS_ShareCount_EoPB,0,COLUMN()),6)</f>
        <v>44.341110999999998</v>
      </c>
      <c r="AY275" s="297">
        <f t="shared" si="639"/>
        <v>43.510344000000003</v>
      </c>
      <c r="AZ275" s="1051">
        <f t="shared" si="639"/>
        <v>43.510344000000003</v>
      </c>
      <c r="BA275" s="297">
        <f t="shared" si="640" ref="BA275:BI275">ROUND(INDEX(MO_BSS_AdjustedCommonEquity,0,COLUMN())/INDEX(MO_RIS_ShareCount_EoPB,0,COLUMN()),6)</f>
        <v>44.660302999999999</v>
      </c>
      <c r="BB275" s="297">
        <f t="shared" si="640"/>
        <v>46.608128999999998</v>
      </c>
      <c r="BC275" s="297">
        <f t="shared" si="640"/>
        <v>48.439504999999997</v>
      </c>
      <c r="BD275" s="297">
        <f t="shared" si="640"/>
        <v>47.547102000000002</v>
      </c>
      <c r="BE275" s="1051">
        <f t="shared" si="640"/>
        <v>47.547102000000002</v>
      </c>
      <c r="BF275" s="297">
        <f>ROUND(INDEX(MO_BSS_AdjustedCommonEquity,0,COLUMN())/INDEX(MO_RIS_ShareCount_EoPB,0,COLUMN()),6)</f>
        <v>50.219366999999998</v>
      </c>
      <c r="BG275" s="297">
        <f>ROUND(INDEX(MO_BSS_AdjustedCommonEquity,0,COLUMN())/INDEX(MO_RIS_ShareCount_EoPB,0,COLUMN()),6)</f>
        <v>52.263306</v>
      </c>
      <c r="BH275" s="768">
        <f>ROUND(INDEX(MO_BSS_AdjustedCommonEquity,0,COLUMN())/INDEX(MO_RIS_ShareCount_EoPB,0,COLUMN()),6)</f>
        <v>51.205550000000002</v>
      </c>
      <c r="BI275" s="298">
        <f t="shared" ca="1" si="640"/>
        <v>52.069661000000004</v>
      </c>
      <c r="BJ275" s="1052">
        <f t="shared" ca="1" si="639"/>
        <v>52.069661000000004</v>
      </c>
      <c r="BK275" s="298">
        <f ca="1" t="shared" si="641" ref="BK275:BR275">ROUND(INDEX(MO_BSS_AdjustedCommonEquity,0,COLUMN())/INDEX(MO_RIS_ShareCount_EoPB,0,COLUMN()),6)</f>
        <v>53.313214000000002</v>
      </c>
      <c r="BL275" s="298">
        <f t="shared" ca="1" si="641"/>
        <v>54.563592999999997</v>
      </c>
      <c r="BM275" s="298">
        <f t="shared" ca="1" si="641"/>
        <v>55.770887999999999</v>
      </c>
      <c r="BN275" s="298">
        <f t="shared" ca="1" si="641"/>
        <v>57.147239999999996</v>
      </c>
      <c r="BO275" s="1052">
        <f t="shared" ca="1" si="641"/>
        <v>57.147239999999996</v>
      </c>
      <c r="BP275" s="1052">
        <f t="shared" ca="1" si="641"/>
        <v>62.658374000000002</v>
      </c>
      <c r="BQ275" s="1052">
        <f t="shared" ca="1" si="641"/>
        <v>68.073725999999994</v>
      </c>
      <c r="BR275" s="1052">
        <f t="shared" ca="1" si="641"/>
        <v>71.673715999999999</v>
      </c>
      <c r="BS275" s="297"/>
    </row>
    <row r="276" spans="1:71" s="46" customFormat="1" ht="15">
      <c r="A276" s="415"/>
      <c r="B276" s="512"/>
      <c r="C276" s="979"/>
      <c r="D276" s="979"/>
      <c r="E276" s="979"/>
      <c r="F276" s="979"/>
      <c r="G276" s="979"/>
      <c r="H276" s="644"/>
      <c r="I276" s="644"/>
      <c r="J276" s="644"/>
      <c r="K276" s="644"/>
      <c r="L276" s="979"/>
      <c r="M276" s="644"/>
      <c r="N276" s="644"/>
      <c r="O276" s="644"/>
      <c r="P276" s="644"/>
      <c r="Q276" s="979"/>
      <c r="R276" s="644"/>
      <c r="S276" s="644"/>
      <c r="T276" s="644"/>
      <c r="U276" s="644"/>
      <c r="V276" s="979"/>
      <c r="W276" s="644"/>
      <c r="X276" s="644"/>
      <c r="Y276" s="644"/>
      <c r="Z276" s="644"/>
      <c r="AA276" s="979"/>
      <c r="AB276" s="644"/>
      <c r="AC276" s="644"/>
      <c r="AD276" s="644"/>
      <c r="AE276" s="644"/>
      <c r="AF276" s="979"/>
      <c r="AG276" s="644"/>
      <c r="AH276" s="644"/>
      <c r="AI276" s="644"/>
      <c r="AJ276" s="644"/>
      <c r="AK276" s="979"/>
      <c r="AL276" s="644"/>
      <c r="AM276" s="644"/>
      <c r="AN276" s="644"/>
      <c r="AO276" s="644"/>
      <c r="AP276" s="979"/>
      <c r="AQ276" s="644"/>
      <c r="AR276" s="644"/>
      <c r="AS276" s="644"/>
      <c r="AT276" s="644"/>
      <c r="AU276" s="979"/>
      <c r="AV276" s="644"/>
      <c r="AW276" s="644"/>
      <c r="AX276" s="644"/>
      <c r="AY276" s="644"/>
      <c r="AZ276" s="979"/>
      <c r="BA276" s="644"/>
      <c r="BB276" s="644"/>
      <c r="BC276" s="644"/>
      <c r="BD276" s="644"/>
      <c r="BE276" s="979"/>
      <c r="BF276" s="644"/>
      <c r="BG276" s="644"/>
      <c r="BH276" s="744"/>
      <c r="BI276" s="644"/>
      <c r="BJ276" s="979"/>
      <c r="BK276" s="644"/>
      <c r="BL276" s="644"/>
      <c r="BM276" s="644"/>
      <c r="BN276" s="644"/>
      <c r="BO276" s="979"/>
      <c r="BP276" s="979"/>
      <c r="BQ276" s="979"/>
      <c r="BR276" s="979"/>
      <c r="BS276" s="93"/>
    </row>
    <row r="277" spans="1:71" s="47" customFormat="1" ht="15">
      <c r="A277" s="87" t="s">
        <v>294</v>
      </c>
      <c r="B277" s="515"/>
      <c r="C277" s="989"/>
      <c r="D277" s="990">
        <f>D222/AVERAGE(C430,D430)*(D$3/D$3)</f>
        <v>0.025320694590726188</v>
      </c>
      <c r="E277" s="990">
        <f>E222/AVERAGE(D430,E430)*(E$3/E$3)</f>
        <v>0.017829856956129531</v>
      </c>
      <c r="F277" s="990">
        <f>F222/AVERAGE(E430,F430)*(F$3/F$3)</f>
        <v>0.023175420792379442</v>
      </c>
      <c r="G277" s="990">
        <f>G222/AVERAGE(F430,G430)*(G$3/G$3)</f>
        <v>0.025023672647889669</v>
      </c>
      <c r="H277" s="97">
        <f>H222*(L$3/H$3)/AVERAGE(G430,H430)</f>
        <v>0.024273743283224104</v>
      </c>
      <c r="I277" s="97">
        <f>I222*(L$3/I$3)/AVERAGE(H430,I430)</f>
        <v>0.025870857561831152</v>
      </c>
      <c r="J277" s="97">
        <f>J222*(L$3/J$3)/AVERAGE(I430,J430)</f>
        <v>0.021957779439563237</v>
      </c>
      <c r="K277" s="97">
        <f>K222*(L$3/K$3)/AVERAGE(J430,K430)</f>
        <v>0.022581783555635348</v>
      </c>
      <c r="L277" s="990">
        <f>L222/AVERAGE(G430,H430,I430,J430,K430)*(L$3/L$3)</f>
        <v>0.023817979305557797</v>
      </c>
      <c r="M277" s="97">
        <f>M222*(Q$3/M$3)/AVERAGE(L430,M430)</f>
        <v>0.02229842544063336</v>
      </c>
      <c r="N277" s="97">
        <f>N222*(Q$3/N$3)/AVERAGE(M430,N430)</f>
        <v>0.019396382031518875</v>
      </c>
      <c r="O277" s="97">
        <f>O222*(Q$3/O$3)/AVERAGE(N430,O430)</f>
        <v>0.019306123256194043</v>
      </c>
      <c r="P277" s="97">
        <f>P222*(Q$3/P$3)/AVERAGE(O430,P430)</f>
        <v>0.024574123839565511</v>
      </c>
      <c r="Q277" s="990">
        <f>Q222/AVERAGE(L430,M430,N430,O430,P430)*(Q$3/Q$3)</f>
        <v>0.021376970597171117</v>
      </c>
      <c r="R277" s="97">
        <f>R222*(V$3/R$3)/AVERAGE(Q430,R430)</f>
        <v>0.023900837600425443</v>
      </c>
      <c r="S277" s="97">
        <f>S222*(V$3/S$3)/AVERAGE(R430,S430)</f>
        <v>0.01638371589273456</v>
      </c>
      <c r="T277" s="97">
        <f>T222*(V$3/T$3)/AVERAGE(S430,T430)</f>
        <v>0.017536309073657767</v>
      </c>
      <c r="U277" s="97">
        <f>U222*(V$3/U$3)/AVERAGE(T430,U430)</f>
        <v>0.021814207893132872</v>
      </c>
      <c r="V277" s="990">
        <f>V222/AVERAGE(Q430,R430,S430,T430,U430)*(V$3/V$3)</f>
        <v>0.02010649865629003</v>
      </c>
      <c r="W277" s="97">
        <f>W222*(AA$3/W$3)/AVERAGE(V430,W430)</f>
        <v>0.018225209712633278</v>
      </c>
      <c r="X277" s="97">
        <f>X222*(AA$3/X$3)/AVERAGE(W430,X430)</f>
        <v>0.021259237632767613</v>
      </c>
      <c r="Y277" s="97">
        <f>Y222*(AA$3/Y$3)/AVERAGE(X430,Y430)</f>
        <v>0.020927387394976689</v>
      </c>
      <c r="Z277" s="97">
        <f>Z222*(AA$3/Z$3)/AVERAGE(Y430,Z430)</f>
        <v>0.074992841120603268</v>
      </c>
      <c r="AA277" s="990">
        <f>AA222/AVERAGE(V430,W430,X430,Y430,Z430)*(AA$3/AA$3)</f>
        <v>0.034247645288419622</v>
      </c>
      <c r="AB277" s="97">
        <f>AB222*(AF$3/AB$3)/AVERAGE(AA430,AB430)</f>
        <v>0.020436466799965795</v>
      </c>
      <c r="AC277" s="97">
        <f>AC222*(AF$3/AC$3)/AVERAGE(AB430,AC430)</f>
        <v>0.023067116817764837</v>
      </c>
      <c r="AD277" s="97">
        <f>AD222*(AF$3/AD$3)/AVERAGE(AC430,AD430)</f>
        <v>0.023952285075565509</v>
      </c>
      <c r="AE277" s="97">
        <f>AE222*(AF$3/AE$3)/AVERAGE(AD430,AE430)</f>
        <v>0.014994577459695678</v>
      </c>
      <c r="AF277" s="990">
        <f>AF222/AVERAGE(AA430,AB430,AC430,AD430,AE430)*(AF$3/AF$3)</f>
        <v>0.02071198145568345</v>
      </c>
      <c r="AG277" s="97">
        <f>AG222*(AK$3/AG$3)/AVERAGE(AF430,AG430)</f>
        <v>0.026310750689868781</v>
      </c>
      <c r="AH277" s="97">
        <f>AH222*(AK$3/AH$3)/AVERAGE(AG430,AH430)</f>
        <v>0.022061323903594814</v>
      </c>
      <c r="AI277" s="97">
        <f>AI222*(AK$3/AI$3)/AVERAGE(AH430,AI430)</f>
        <v>0.020178656224799359</v>
      </c>
      <c r="AJ277" s="97">
        <f>AJ222*(AK$3/AJ$3)/AVERAGE(AI430,AJ430)</f>
        <v>0.020217982763395839</v>
      </c>
      <c r="AK277" s="990">
        <f>AK222/AVERAGE(AF430,AG430,AH430,AI430,AJ430)*(AK$3/AK$3)</f>
        <v>0.022192667821975039</v>
      </c>
      <c r="AL277" s="97">
        <f>AL222*(AP$3/AL$3)/AVERAGE(AK430,AL430)</f>
        <v>0.014957682141239752</v>
      </c>
      <c r="AM277" s="97">
        <f>AM222*(AP$3/AM$3)/AVERAGE(AL430,AM430)</f>
        <v>0.020976098759599406</v>
      </c>
      <c r="AN277" s="97">
        <f>AN222*(AP$3/AN$3)/AVERAGE(AM430,AN430)</f>
        <v>0.06144225414034734</v>
      </c>
      <c r="AO277" s="97">
        <f>AO222*(AP$3/AO$3)/AVERAGE(AN430,AO430)</f>
        <v>0.023207670734395499</v>
      </c>
      <c r="AP277" s="990">
        <f>AP222/AVERAGE(AK430,AL430,AM430,AN430,AO430)*(AP$3/AP$3)</f>
        <v>0.030336045672954826</v>
      </c>
      <c r="AQ277" s="97">
        <f>AQ222*(AU$3/AQ$3)/AVERAGE(AP430,AQ430)</f>
        <v>0.032445147046236626</v>
      </c>
      <c r="AR277" s="97">
        <f>AR222*(AU$3/AR$3)/AVERAGE(AQ430,AR430)</f>
        <v>0.02773131063849946</v>
      </c>
      <c r="AS277" s="97">
        <f>AS222*(AU$3/AS$3)/AVERAGE(AR430,AS430)</f>
        <v>0.021876211098552697</v>
      </c>
      <c r="AT277" s="97">
        <f>AT222*(AU$3/AT$3)/AVERAGE(AS430,AT430)</f>
        <v>0.025913953116200095</v>
      </c>
      <c r="AU277" s="990">
        <f>AU222/AVERAGE(AP430,AQ430,AR430,AS430,AT430)*(AU$3/AU$3)</f>
        <v>0.02693448785239029</v>
      </c>
      <c r="AV277" s="97">
        <f>AV222*(AZ$3/AV$3)/AVERAGE(AU430,AV430)</f>
        <v>0.027881378561641731</v>
      </c>
      <c r="AW277" s="97">
        <f>AW222*(AZ$3/AW$3)/AVERAGE(AV430,AW430)</f>
        <v>0.039560050809719159</v>
      </c>
      <c r="AX277" s="97">
        <f>AX222*(AZ$3/AX$3)/AVERAGE(AW430,AX430)</f>
        <v>0.053584732153411099</v>
      </c>
      <c r="AY277" s="97">
        <f>AY222*(AZ$3/AY$3)/AVERAGE(AX430,AY430)</f>
        <v>0.0060019890292969886</v>
      </c>
      <c r="AZ277" s="990">
        <f>AZ222/AVERAGE(AU430,AV430,AW430,AX430,AY430)*(AZ$3/AZ$3)</f>
        <v>0.031587195817735163</v>
      </c>
      <c r="BA277" s="97">
        <f>BA222*(BE$3/BA$3)/AVERAGE(AZ430,BA430)</f>
        <v>0.036227879225364024</v>
      </c>
      <c r="BB277" s="97">
        <f>BB222*(BE$3/BB$3)/AVERAGE(BA430,BB430)</f>
        <v>0.049353565197415912</v>
      </c>
      <c r="BC277" s="97">
        <f>BC222*(BE$3/BC$3)/AVERAGE(BB430,BC430)</f>
        <v>0.048681551410407871</v>
      </c>
      <c r="BD277" s="97">
        <f>BD222*(BE$3/BD$3)/AVERAGE(BC430,BD430)</f>
        <v>0.0084441072096032525</v>
      </c>
      <c r="BE277" s="990">
        <f>BE222/AVERAGE(AZ430,BA430,BB430,BC430,BD430)*(BE$3/BE$3)</f>
        <v>0.035924459166867144</v>
      </c>
      <c r="BF277" s="97">
        <f>BF222*(BJ$3/BF$3)/AVERAGE(BE430,BF430)</f>
        <v>0.060105912555150229</v>
      </c>
      <c r="BG277" s="97">
        <f>BG222*(BJ$3/BG$3)/AVERAGE(BF430,BG430)</f>
        <v>0.057642165926841932</v>
      </c>
      <c r="BH277" s="745">
        <f>BH222*(BJ$3/BH$3)/AVERAGE(BG430,BH430)</f>
        <v>-0.0029763747304578673</v>
      </c>
      <c r="BI277" s="59">
        <f ca="1">BI222*(BJ$3/BI$3)/AVERAGE(BH430,BI430)</f>
        <v>0.026086692557796009</v>
      </c>
      <c r="BJ277" s="989">
        <f ca="1">BJ222/AVERAGE(BE430,BF430,BG430,BH430,BI430)*(BJ$3/BJ$3)</f>
        <v>0.034832108432763999</v>
      </c>
      <c r="BK277" s="59">
        <f ca="1">BK222*(BO$3/BK$3)/AVERAGE(BJ430,BK430)</f>
        <v>0.030233978727998843</v>
      </c>
      <c r="BL277" s="59">
        <f ca="1">BL222*(BO$3/BL$3)/AVERAGE(BK430,BL430)</f>
        <v>0.029796732242742072</v>
      </c>
      <c r="BM277" s="59">
        <f ca="1">BM222*(BO$3/BM$3)/AVERAGE(BL430,BM430)</f>
        <v>0.028534488611750935</v>
      </c>
      <c r="BN277" s="59">
        <f ca="1">BN222*(BO$3/BN$3)/AVERAGE(BM430,BN430)</f>
        <v>0.031111981630747639</v>
      </c>
      <c r="BO277" s="989">
        <f ca="1">BO222/AVERAGE(BJ430,BK430,BL430,BM430,BN430)*(BO$3/BO$3)</f>
        <v>0.029918864925317683</v>
      </c>
      <c r="BP277" s="989">
        <f ca="1">BP222/AVERAGE(BO430,BP430)*(BP3/BP3)</f>
        <v>0.030788981973558002</v>
      </c>
      <c r="BQ277" s="989">
        <f ca="1">BQ222/AVERAGE(BP430,BQ430)*(BQ3/BQ3)</f>
        <v>0.029499871971593677</v>
      </c>
      <c r="BR277" s="989">
        <f ca="1">BR222/AVERAGE(BQ430,BR430)*(BR3/BR3)</f>
        <v>0.021685230944225205</v>
      </c>
      <c r="BS277" s="97"/>
    </row>
    <row r="278" spans="1:71" s="47" customFormat="1" ht="15">
      <c r="A278" s="87" t="s">
        <v>295</v>
      </c>
      <c r="B278" s="515"/>
      <c r="C278" s="989"/>
      <c r="D278" s="990">
        <f>D222/AVERAGE(C266,D266)*(D$3/D$3)</f>
        <v>0.2407435936938325</v>
      </c>
      <c r="E278" s="990">
        <f>E222/AVERAGE(D266,E266)*(E$3/E$3)</f>
        <v>0.16140321639863345</v>
      </c>
      <c r="F278" s="990">
        <f>F222/AVERAGE(E266,F266)*(F$3/F$3)</f>
        <v>0.19817452634490387</v>
      </c>
      <c r="G278" s="990">
        <f>G222/AVERAGE(F266,G266)*(G$3/G$3)</f>
        <v>0.20641872017778939</v>
      </c>
      <c r="H278" s="97">
        <f>(H222*(L$3/H$3))/AVERAGE(G266,H266)</f>
        <v>0.19597746677229116</v>
      </c>
      <c r="I278" s="97">
        <f>(I222*(L$3/I$3))/AVERAGE(H266,I266)</f>
        <v>0.19551670571710292</v>
      </c>
      <c r="J278" s="97">
        <f>(J222*(L$3/J$3))/AVERAGE(I266,J266)</f>
        <v>0.15819820173785351</v>
      </c>
      <c r="K278" s="97">
        <f>(K222*(L$3/K$3))/AVERAGE(J266,K266)</f>
        <v>0.15409260148931062</v>
      </c>
      <c r="L278" s="990">
        <f>L222/AVERAGE(G266,H266,I266,J266,K266)*(L$3/L$3)</f>
        <v>0.1755419135317772</v>
      </c>
      <c r="M278" s="97">
        <f>(M222*(Q$3/M$3))/AVERAGE(L266,M266)</f>
        <v>0.1454052202754344</v>
      </c>
      <c r="N278" s="97">
        <f>(N222*(Q$3/N$3))/AVERAGE(M266,N266)</f>
        <v>0.12891862029430393</v>
      </c>
      <c r="O278" s="97">
        <f>(O222*(Q$3/O$3))/AVERAGE(N266,O266)</f>
        <v>0.13127014673738613</v>
      </c>
      <c r="P278" s="97">
        <f>(P222*(Q$3/P$3))/AVERAGE(O266,P266)</f>
        <v>0.16567203341669268</v>
      </c>
      <c r="Q278" s="990">
        <f>Q222/AVERAGE(L266,M266,N266,O266,P266)*(Q$3/Q$3)</f>
        <v>0.14235935480245041</v>
      </c>
      <c r="R278" s="97">
        <f>(R222*(V$3/R$3))/AVERAGE(Q266,R266)</f>
        <v>0.1558517816038556</v>
      </c>
      <c r="S278" s="97">
        <f>(S222*(V$3/S$3))/AVERAGE(R266,S266)</f>
        <v>0.10354673162688008</v>
      </c>
      <c r="T278" s="97">
        <f>(T222*(V$3/T$3))/AVERAGE(S266,T266)</f>
        <v>0.11039268057600184</v>
      </c>
      <c r="U278" s="97">
        <f>(U222*(V$3/U$3))/AVERAGE(T266,U266)</f>
        <v>0.13810404756712866</v>
      </c>
      <c r="V278" s="990">
        <f>V222/AVERAGE(Q266,R266,S266,T266,U266)*(V$3/V$3)</f>
        <v>0.12839704092866938</v>
      </c>
      <c r="W278" s="97">
        <f>(W222*(AA$3/W$3))/AVERAGE(V266,W266)</f>
        <v>0.11762720537400856</v>
      </c>
      <c r="X278" s="97">
        <f>(X222*(AA$3/X$3))/AVERAGE(W266,X266)</f>
        <v>0.13669360059437252</v>
      </c>
      <c r="Y278" s="97">
        <f>(Y222*(AA$3/Y$3))/AVERAGE(X266,Y266)</f>
        <v>0.13066477340906363</v>
      </c>
      <c r="Z278" s="97">
        <f>(Z222*(AA$3/Z$3))/AVERAGE(Y266,Z266)</f>
        <v>0.44005461037597149</v>
      </c>
      <c r="AA278" s="990">
        <f>AA222/AVERAGE(V266,W266,X266,Y266,Z266)*(AA$3/AA$3)</f>
        <v>0.21138659320477501</v>
      </c>
      <c r="AB278" s="97">
        <f>(AB222*(AF$3/AB$3))/AVERAGE(AA266,AB266)</f>
        <v>0.11896628140874842</v>
      </c>
      <c r="AC278" s="97">
        <f>(AC222*(AF$3/AC$3))/AVERAGE(AB266,AC266)</f>
        <v>0.13879605120481031</v>
      </c>
      <c r="AD278" s="97">
        <f>(AD222*(AF$3/AD$3))/AVERAGE(AC266,AD266)</f>
        <v>0.1425541375249357</v>
      </c>
      <c r="AE278" s="97">
        <f>(AE222*(AF$3/AE$3))/AVERAGE(AD266,AE266)</f>
        <v>0.089380153592896888</v>
      </c>
      <c r="AF278" s="990">
        <f>AF222/AVERAGE(AA266,AB266,AC266,AD266,AE266)*(AF$3/AF$3)</f>
        <v>0.12229751803050737</v>
      </c>
      <c r="AG278" s="97">
        <f>(AG222*(AK$3/AG$3))/AVERAGE(AF266,AG266)</f>
        <v>0.15202906649251904</v>
      </c>
      <c r="AH278" s="97">
        <f>(AH222*(AK$3/AH$3))/AVERAGE(AG266,AH266)</f>
        <v>0.1207212386066687</v>
      </c>
      <c r="AI278" s="97">
        <f>(AI222*(AK$3/AI$3))/AVERAGE(AH266,AI266)</f>
        <v>0.10689030820500567</v>
      </c>
      <c r="AJ278" s="97">
        <f>(AJ222*(AK$3/AJ$3))/AVERAGE(AI266,AJ266)</f>
        <v>0.10625545832833878</v>
      </c>
      <c r="AK278" s="990">
        <f>AK222/AVERAGE(AF266,AG266,AH266,AI266,AJ266)*(AK$3/AK$3)</f>
        <v>0.12133765213112105</v>
      </c>
      <c r="AL278" s="97">
        <f>(AL222*(AP$3/AL$3))/AVERAGE(AK266,AL266)</f>
        <v>0.082239828053668126</v>
      </c>
      <c r="AM278" s="97">
        <f>(AM222*(AP$3/AM$3))/AVERAGE(AL266,AM266)</f>
        <v>0.11600058427474141</v>
      </c>
      <c r="AN278" s="97">
        <f>(AN222*(AP$3/AN$3))/AVERAGE(AM266,AN266)</f>
        <v>0.31569520333614998</v>
      </c>
      <c r="AO278" s="97">
        <f>(AO222*(AP$3/AO$3))/AVERAGE(AN266,AO266)</f>
        <v>0.11458027459815626</v>
      </c>
      <c r="AP278" s="990">
        <f>AP222/AVERAGE(AK266,AL266,AM266,AN266,AO266)*(AP$3/AP$3)</f>
        <v>0.15840179287755521</v>
      </c>
      <c r="AQ278" s="97">
        <f>(AQ222*(AU$3/AQ$3))/AVERAGE(AP266,AQ266)</f>
        <v>0.1597220107012681</v>
      </c>
      <c r="AR278" s="97">
        <f>(AR222*(AU$3/AR$3))/AVERAGE(AQ266,AR266)</f>
        <v>0.13463783399079124</v>
      </c>
      <c r="AS278" s="97">
        <f>(AS222*(AU$3/AS$3))/AVERAGE(AR266,AS266)</f>
        <v>0.10471691346800628</v>
      </c>
      <c r="AT278" s="97">
        <f>(AT222*(AU$3/AT$3))/AVERAGE(AS266,AT266)</f>
        <v>0.12340751636007458</v>
      </c>
      <c r="AU278" s="990">
        <f>AU222/AVERAGE(AP266,AQ266,AR266,AS266,AT266)*(AU$3/AU$3)</f>
        <v>0.13011275435915332</v>
      </c>
      <c r="AV278" s="97">
        <f>(AV222*(AZ$3/AV$3))/AVERAGE(AU266,AV266)</f>
        <v>0.13527131782945734</v>
      </c>
      <c r="AW278" s="97">
        <f>(AW222*(AZ$3/AW$3))/AVERAGE(AV266,AW266)</f>
        <v>0.19999709129444079</v>
      </c>
      <c r="AX278" s="97">
        <f>(AX222*(AZ$3/AX$3))/AVERAGE(AW266,AX266)</f>
        <v>0.27962262462824661</v>
      </c>
      <c r="AY278" s="97">
        <f>(AY222*(AZ$3/AY$3))/AVERAGE(AX266,AY266)</f>
        <v>0.033433312365465269</v>
      </c>
      <c r="AZ278" s="990">
        <f>AZ222/AVERAGE(AU266,AV266,AW266,AX266,AY266)*(AZ$3/AZ$3)</f>
        <v>0.1628047522183898</v>
      </c>
      <c r="BA278" s="97">
        <f>(BA222*(BE$3/BA$3))/AVERAGE(AZ266,BA266)</f>
        <v>0.22861752354741513</v>
      </c>
      <c r="BB278" s="97">
        <f>(BB222*(BE$3/BB$3))/AVERAGE(BA266,BB266)</f>
        <v>0.32588101553618792</v>
      </c>
      <c r="BC278" s="97">
        <f>(BC222*(BE$3/BC$3))/AVERAGE(BB266,BC266)</f>
        <v>0.28880193729803</v>
      </c>
      <c r="BD278" s="97">
        <f>(BD222*(BE$3/BD$3))/AVERAGE(BC266,BD266)</f>
        <v>0.047622200455288102</v>
      </c>
      <c r="BE278" s="990">
        <f>BE222/AVERAGE(AZ266,BA266,BB266,BC266,BD266)*(BE$3/BE$3)</f>
        <v>0.21721900001864938</v>
      </c>
      <c r="BF278" s="97">
        <f>(BF222*(BJ$3/BF$3))/AVERAGE(BE266,BF266)</f>
        <v>0.33202832491088718</v>
      </c>
      <c r="BG278" s="97">
        <f>(BG222*(BJ$3/BG$3))/AVERAGE(BF266,BG266)</f>
        <v>0.28471165813857002</v>
      </c>
      <c r="BH278" s="745">
        <f>(BH222*(BJ$3/BH$3))/AVERAGE(BG266,BH266)</f>
        <v>-0.014544028180496696</v>
      </c>
      <c r="BI278" s="59">
        <f ca="1">(BI222*(BJ$3/BI$3))/AVERAGE(BH266,BI266)</f>
        <v>0.13408023199792984</v>
      </c>
      <c r="BJ278" s="989">
        <f ca="1">BJ222/AVERAGE(BE266,BF266,BG266,BH266,BI266)*(BJ$3/BJ$3)</f>
        <v>0.18011205554510015</v>
      </c>
      <c r="BK278" s="59">
        <f ca="1">(BK222*(BO$3/BK$3))/AVERAGE(BJ266,BK266)</f>
        <v>0.15291154528380035</v>
      </c>
      <c r="BL278" s="59">
        <f ca="1">(BL222*(BO$3/BL$3))/AVERAGE(BK266,BL266)</f>
        <v>0.14783672222750913</v>
      </c>
      <c r="BM278" s="59">
        <f ca="1">(BM222*(BO$3/BM$3))/AVERAGE(BL266,BM266)</f>
        <v>0.13903299148913939</v>
      </c>
      <c r="BN278" s="59">
        <f ca="1">(BN222*(BO$3/BN$3))/AVERAGE(BM266,BN266)</f>
        <v>0.14885306268335954</v>
      </c>
      <c r="BO278" s="989">
        <f ca="1">BO222/AVERAGE(BJ266,BK266,BL266,BM266,BN266)*(BO$3/BO$3)</f>
        <v>0.1470684119037407</v>
      </c>
      <c r="BP278" s="989">
        <f ca="1">BP222/AVERAGE(BO266,BP266)*(BP3/BP3)</f>
        <v>0.14051507849155753</v>
      </c>
      <c r="BQ278" s="989">
        <f ca="1">BQ222/AVERAGE(BP266,BQ266)*(BQ3/BQ3)</f>
        <v>0.12585986208357472</v>
      </c>
      <c r="BR278" s="989">
        <f ca="1">BR222/AVERAGE(BQ266,BR266)*(BR3/BR3)</f>
        <v>0.0882928256364965</v>
      </c>
      <c r="BS278" s="97"/>
    </row>
    <row r="279" spans="1:71" s="54" customFormat="1" ht="15">
      <c r="A279" s="351" t="str">
        <f>CONCATENATE("Consensus Estimates - ",IFERROR(LEFT(A278,FIND("(",A278)-1),A278))</f>
        <v>Consensus Estimates - Return on Average Common Equity, %</v>
      </c>
      <c r="B279" s="181"/>
      <c r="C279" s="1053"/>
      <c r="D279" s="1053"/>
      <c r="E279" s="1053"/>
      <c r="F279" s="1053"/>
      <c r="G279" s="1053"/>
      <c r="H279" s="172"/>
      <c r="I279" s="172"/>
      <c r="J279" s="172"/>
      <c r="K279" s="172"/>
      <c r="L279" s="1053"/>
      <c r="M279" s="172"/>
      <c r="N279" s="172"/>
      <c r="O279" s="172"/>
      <c r="P279" s="172"/>
      <c r="Q279" s="1053"/>
      <c r="R279" s="172"/>
      <c r="S279" s="172"/>
      <c r="T279" s="172"/>
      <c r="U279" s="172"/>
      <c r="V279" s="1053"/>
      <c r="W279" s="172"/>
      <c r="X279" s="172"/>
      <c r="Y279" s="172"/>
      <c r="Z279" s="172"/>
      <c r="AA279" s="1053"/>
      <c r="AB279" s="172"/>
      <c r="AC279" s="172"/>
      <c r="AD279" s="172"/>
      <c r="AE279" s="172"/>
      <c r="AF279" s="1053"/>
      <c r="AG279" s="172"/>
      <c r="AH279" s="172"/>
      <c r="AI279" s="172"/>
      <c r="AJ279" s="172"/>
      <c r="AK279" s="1053"/>
      <c r="AL279" s="172"/>
      <c r="AM279" s="172"/>
      <c r="AN279" s="172"/>
      <c r="AO279" s="172"/>
      <c r="AP279" s="1053"/>
      <c r="AQ279" s="172"/>
      <c r="AR279" s="172"/>
      <c r="AS279" s="172"/>
      <c r="AT279" s="172"/>
      <c r="AU279" s="1053"/>
      <c r="AV279" s="172"/>
      <c r="AW279" s="172"/>
      <c r="AX279" s="172"/>
      <c r="AY279" s="172"/>
      <c r="AZ279" s="1053"/>
      <c r="BA279" s="172"/>
      <c r="BB279" s="172"/>
      <c r="BC279" s="172"/>
      <c r="BD279" s="172"/>
      <c r="BE279" s="1053"/>
      <c r="BF279" s="172"/>
      <c r="BG279" s="172"/>
      <c r="BH279" s="769"/>
      <c r="BI279" s="789" t="str">
        <f ca="1" t="shared" si="642" ref="BI279:BO279">IFERROR(VLOOKUP($A279,tb_ConsensusEstimate,MATCH(BI$5,OFFSET(tb_ConsensusEstimate,0,0,1,COLUMNS(tb_ConsensusEstimate)),0),FALSE),"-")</f>
        <v>N/A</v>
      </c>
      <c r="BJ279" s="1054" t="str">
        <f t="shared" ca="1" si="642"/>
        <v>N/A</v>
      </c>
      <c r="BK279" s="789" t="str">
        <f t="shared" ca="1" si="642"/>
        <v>N/A</v>
      </c>
      <c r="BL279" s="789" t="str">
        <f t="shared" ca="1" si="642"/>
        <v>N/A</v>
      </c>
      <c r="BM279" s="789" t="str">
        <f t="shared" ca="1" si="642"/>
        <v>N/A</v>
      </c>
      <c r="BN279" s="789" t="str">
        <f t="shared" ca="1" si="642"/>
        <v>N/A</v>
      </c>
      <c r="BO279" s="1054" t="str">
        <f t="shared" ca="1" si="642"/>
        <v>N/A</v>
      </c>
      <c r="BP279" s="1054" t="str">
        <f ca="1">IFERROR(VLOOKUP($A279,tb_ConsensusEstimate,MATCH(BP5,OFFSET(tb_ConsensusEstimate,0,0,1,COLUMNS(tb_ConsensusEstimate)),0),FALSE),"-")</f>
        <v>N/A</v>
      </c>
      <c r="BQ279" s="1054" t="str">
        <f ca="1">IFERROR(VLOOKUP($A279,tb_ConsensusEstimate,MATCH(BQ5,OFFSET(tb_ConsensusEstimate,0,0,1,COLUMNS(tb_ConsensusEstimate)),0),FALSE),"-")</f>
        <v>N/A</v>
      </c>
      <c r="BR279" s="1054" t="str">
        <f ca="1">IFERROR(VLOOKUP($A279,tb_ConsensusEstimate,MATCH(BR5,OFFSET(tb_ConsensusEstimate,0,0,1,COLUMNS(tb_ConsensusEstimate)),0),FALSE),"-")</f>
        <v>N/A</v>
      </c>
      <c r="BS279" s="172"/>
    </row>
    <row r="280" spans="1:71" ht="15">
      <c r="A280" s="516"/>
      <c r="B280" s="516"/>
      <c r="C280" s="1055"/>
      <c r="D280" s="1055"/>
      <c r="E280" s="1055"/>
      <c r="F280" s="1055"/>
      <c r="G280" s="1055"/>
      <c r="H280" s="245"/>
      <c r="I280" s="245"/>
      <c r="J280" s="245"/>
      <c r="K280" s="245"/>
      <c r="L280" s="1055"/>
      <c r="M280" s="245"/>
      <c r="N280" s="245"/>
      <c r="O280" s="245"/>
      <c r="P280" s="245"/>
      <c r="Q280" s="1055"/>
      <c r="R280" s="245"/>
      <c r="S280" s="245"/>
      <c r="T280" s="245"/>
      <c r="U280" s="245"/>
      <c r="V280" s="1055"/>
      <c r="W280" s="245"/>
      <c r="X280" s="245"/>
      <c r="Y280" s="245"/>
      <c r="Z280" s="245"/>
      <c r="AA280" s="1055"/>
      <c r="AB280" s="245"/>
      <c r="AC280" s="245"/>
      <c r="AD280" s="245"/>
      <c r="AE280" s="245"/>
      <c r="AF280" s="1055"/>
      <c r="AG280" s="245"/>
      <c r="AH280" s="245"/>
      <c r="AI280" s="245"/>
      <c r="AJ280" s="245"/>
      <c r="AK280" s="1055"/>
      <c r="AL280" s="245"/>
      <c r="AM280" s="245"/>
      <c r="AN280" s="245"/>
      <c r="AO280" s="245"/>
      <c r="AP280" s="1055"/>
      <c r="AQ280" s="245"/>
      <c r="AR280" s="245"/>
      <c r="AS280" s="245"/>
      <c r="AT280" s="245"/>
      <c r="AU280" s="1055"/>
      <c r="AV280" s="245"/>
      <c r="AW280" s="245"/>
      <c r="AX280" s="245"/>
      <c r="AY280" s="245"/>
      <c r="AZ280" s="1055"/>
      <c r="BA280" s="245"/>
      <c r="BB280" s="245"/>
      <c r="BC280" s="245"/>
      <c r="BD280" s="245"/>
      <c r="BE280" s="1055"/>
      <c r="BF280" s="245"/>
      <c r="BG280" s="245"/>
      <c r="BH280" s="550"/>
      <c r="BI280" s="245"/>
      <c r="BJ280" s="1055"/>
      <c r="BK280" s="245"/>
      <c r="BL280" s="245"/>
      <c r="BM280" s="245"/>
      <c r="BN280" s="245"/>
      <c r="BO280" s="1055"/>
      <c r="BP280" s="1055"/>
      <c r="BQ280" s="1055"/>
      <c r="BR280" s="1055"/>
      <c r="BS280" s="227"/>
    </row>
    <row r="281" spans="1:71" s="625" customFormat="1" ht="15">
      <c r="A281" s="813" t="s">
        <v>311</v>
      </c>
      <c r="B281" s="813"/>
      <c r="C281" s="828"/>
      <c r="D281" s="828"/>
      <c r="E281" s="828"/>
      <c r="F281" s="828"/>
      <c r="G281" s="828"/>
      <c r="H281" s="828"/>
      <c r="I281" s="828"/>
      <c r="J281" s="828"/>
      <c r="K281" s="828"/>
      <c r="L281" s="828"/>
      <c r="M281" s="828"/>
      <c r="N281" s="828"/>
      <c r="O281" s="828"/>
      <c r="P281" s="828"/>
      <c r="Q281" s="828"/>
      <c r="R281" s="828"/>
      <c r="S281" s="828"/>
      <c r="T281" s="828"/>
      <c r="U281" s="828"/>
      <c r="V281" s="828"/>
      <c r="W281" s="828"/>
      <c r="X281" s="828"/>
      <c r="Y281" s="828"/>
      <c r="Z281" s="828"/>
      <c r="AA281" s="828"/>
      <c r="AB281" s="828"/>
      <c r="AC281" s="828"/>
      <c r="AD281" s="828"/>
      <c r="AE281" s="828"/>
      <c r="AF281" s="828"/>
      <c r="AG281" s="828"/>
      <c r="AH281" s="828"/>
      <c r="AI281" s="828"/>
      <c r="AJ281" s="828"/>
      <c r="AK281" s="828"/>
      <c r="AL281" s="828"/>
      <c r="AM281" s="828"/>
      <c r="AN281" s="828"/>
      <c r="AO281" s="828"/>
      <c r="AP281" s="828"/>
      <c r="AQ281" s="828"/>
      <c r="AR281" s="828"/>
      <c r="AS281" s="828"/>
      <c r="AT281" s="828"/>
      <c r="AU281" s="828"/>
      <c r="AV281" s="828"/>
      <c r="AW281" s="828"/>
      <c r="AX281" s="828"/>
      <c r="AY281" s="828"/>
      <c r="AZ281" s="828"/>
      <c r="BA281" s="828"/>
      <c r="BB281" s="828"/>
      <c r="BC281" s="828"/>
      <c r="BD281" s="828"/>
      <c r="BE281" s="828"/>
      <c r="BF281" s="828"/>
      <c r="BG281" s="828"/>
      <c r="BH281" s="829"/>
      <c r="BI281" s="830"/>
      <c r="BJ281" s="830"/>
      <c r="BK281" s="830"/>
      <c r="BL281" s="830"/>
      <c r="BM281" s="830"/>
      <c r="BN281" s="830"/>
      <c r="BO281" s="830"/>
      <c r="BP281" s="828"/>
      <c r="BQ281" s="828"/>
      <c r="BR281" s="830"/>
      <c r="BS281" s="373"/>
    </row>
    <row r="282" spans="1:71" s="626" customFormat="1" ht="15">
      <c r="A282" s="563" t="s">
        <v>312</v>
      </c>
      <c r="B282" s="442"/>
      <c r="C282" s="971">
        <f t="shared" si="643" ref="C282:AN282">C440</f>
        <v>2599</v>
      </c>
      <c r="D282" s="971">
        <f t="shared" si="643"/>
        <v>3038</v>
      </c>
      <c r="E282" s="971">
        <f t="shared" si="643"/>
        <v>3285</v>
      </c>
      <c r="F282" s="971">
        <f t="shared" si="643"/>
        <v>4352</v>
      </c>
      <c r="G282" s="971">
        <f t="shared" si="643"/>
        <v>4897</v>
      </c>
      <c r="H282" s="176">
        <f t="shared" si="643"/>
        <v>4913</v>
      </c>
      <c r="I282" s="176">
        <f t="shared" si="643"/>
        <v>4925</v>
      </c>
      <c r="J282" s="176">
        <f t="shared" si="643"/>
        <v>4558</v>
      </c>
      <c r="K282" s="176">
        <f t="shared" si="643"/>
        <v>5282</v>
      </c>
      <c r="L282" s="971">
        <f t="shared" si="643"/>
        <v>5282</v>
      </c>
      <c r="M282" s="176">
        <f t="shared" si="643"/>
        <v>6282</v>
      </c>
      <c r="N282" s="176">
        <f t="shared" si="643"/>
        <v>5425</v>
      </c>
      <c r="O282" s="176">
        <f t="shared" si="643"/>
        <v>5009</v>
      </c>
      <c r="P282" s="176">
        <f t="shared" si="643"/>
        <v>4971</v>
      </c>
      <c r="Q282" s="971">
        <f t="shared" si="643"/>
        <v>4971</v>
      </c>
      <c r="R282" s="176">
        <f t="shared" si="643"/>
        <v>4984</v>
      </c>
      <c r="S282" s="176">
        <f t="shared" si="643"/>
        <v>5009</v>
      </c>
      <c r="T282" s="176">
        <f t="shared" si="643"/>
        <v>5765</v>
      </c>
      <c r="U282" s="176">
        <f t="shared" si="643"/>
        <v>5360</v>
      </c>
      <c r="V282" s="971">
        <f t="shared" si="643"/>
        <v>5360</v>
      </c>
      <c r="W282" s="176">
        <f t="shared" si="643"/>
        <v>5250</v>
      </c>
      <c r="X282" s="176">
        <f t="shared" si="643"/>
        <v>5252</v>
      </c>
      <c r="Y282" s="176">
        <f t="shared" si="643"/>
        <v>5248</v>
      </c>
      <c r="Z282" s="176">
        <f t="shared" si="643"/>
        <v>5289</v>
      </c>
      <c r="AA282" s="971">
        <f t="shared" si="643"/>
        <v>5289</v>
      </c>
      <c r="AB282" s="176">
        <f t="shared" si="643"/>
        <v>5372</v>
      </c>
      <c r="AC282" s="176">
        <f t="shared" si="643"/>
        <v>5315</v>
      </c>
      <c r="AD282" s="176">
        <f t="shared" si="643"/>
        <v>5279</v>
      </c>
      <c r="AE282" s="176">
        <f t="shared" si="643"/>
        <v>5778</v>
      </c>
      <c r="AF282" s="971">
        <f t="shared" si="643"/>
        <v>5778</v>
      </c>
      <c r="AG282" s="176">
        <f t="shared" si="643"/>
        <v>5900</v>
      </c>
      <c r="AH282" s="176">
        <f t="shared" si="643"/>
        <v>6231</v>
      </c>
      <c r="AI282" s="176">
        <f t="shared" si="643"/>
        <v>6233</v>
      </c>
      <c r="AJ282" s="176">
        <f t="shared" si="643"/>
        <v>6569</v>
      </c>
      <c r="AK282" s="971">
        <f t="shared" si="643"/>
        <v>6569</v>
      </c>
      <c r="AL282" s="176">
        <f t="shared" si="643"/>
        <v>6758</v>
      </c>
      <c r="AM282" s="176">
        <f t="shared" si="643"/>
        <v>7771</v>
      </c>
      <c r="AN282" s="176">
        <f t="shared" si="643"/>
        <v>7825</v>
      </c>
      <c r="AO282" s="176">
        <f t="shared" si="644" ref="AO282:BC282">AO440</f>
        <v>7899</v>
      </c>
      <c r="AP282" s="971">
        <f t="shared" si="644"/>
        <v>7899</v>
      </c>
      <c r="AQ282" s="176">
        <f t="shared" si="644"/>
        <v>8088</v>
      </c>
      <c r="AR282" s="176">
        <f t="shared" si="644"/>
        <v>8121</v>
      </c>
      <c r="AS282" s="176">
        <f t="shared" si="644"/>
        <v>8066</v>
      </c>
      <c r="AT282" s="176">
        <f t="shared" si="644"/>
        <v>7956</v>
      </c>
      <c r="AU282" s="971">
        <f t="shared" si="644"/>
        <v>7956</v>
      </c>
      <c r="AV282" s="176">
        <f t="shared" si="644"/>
        <v>7768</v>
      </c>
      <c r="AW282" s="176">
        <f t="shared" si="644"/>
        <v>7416</v>
      </c>
      <c r="AX282" s="176">
        <f t="shared" si="644"/>
        <v>7518</v>
      </c>
      <c r="AY282" s="176">
        <f t="shared" si="644"/>
        <v>7442</v>
      </c>
      <c r="AZ282" s="971">
        <f t="shared" si="644"/>
        <v>7442</v>
      </c>
      <c r="BA282" s="176">
        <f t="shared" si="644"/>
        <v>7420</v>
      </c>
      <c r="BB282" s="176">
        <f t="shared" si="644"/>
        <v>7087</v>
      </c>
      <c r="BC282" s="176">
        <f t="shared" si="644"/>
        <v>6961</v>
      </c>
      <c r="BD282" s="229">
        <f t="shared" si="645" ref="BD282:BE282">BD440</f>
        <v>7364</v>
      </c>
      <c r="BE282" s="970">
        <f t="shared" si="645"/>
        <v>7364</v>
      </c>
      <c r="BF282" s="176">
        <f>BF440</f>
        <v>7912</v>
      </c>
      <c r="BG282" s="176">
        <f>BG440</f>
        <v>7430</v>
      </c>
      <c r="BH282" s="551">
        <f>BH440</f>
        <v>7978</v>
      </c>
      <c r="BI282" s="569">
        <f>MAX(0,BH282+BI290)</f>
        <v>7978</v>
      </c>
      <c r="BJ282" s="1056">
        <f t="shared" si="646" ref="BJ282">MAX(0,BI282+BJ290)</f>
        <v>8607</v>
      </c>
      <c r="BK282" s="569">
        <f t="shared" si="647" ref="BK282:BR282">MAX(0,BJ282+BK290)</f>
        <v>8607</v>
      </c>
      <c r="BL282" s="569">
        <f t="shared" si="647"/>
        <v>8607</v>
      </c>
      <c r="BM282" s="569">
        <f t="shared" si="647"/>
        <v>8607</v>
      </c>
      <c r="BN282" s="569">
        <f t="shared" si="647"/>
        <v>8607</v>
      </c>
      <c r="BO282" s="1056">
        <f t="shared" si="647"/>
        <v>8607</v>
      </c>
      <c r="BP282" s="971">
        <f t="shared" si="647"/>
        <v>8607</v>
      </c>
      <c r="BQ282" s="971">
        <f t="shared" si="647"/>
        <v>8607</v>
      </c>
      <c r="BR282" s="1056">
        <f t="shared" si="647"/>
        <v>8607</v>
      </c>
      <c r="BS282" s="374"/>
    </row>
    <row r="283" spans="1:71" s="626" customFormat="1" ht="15">
      <c r="A283" s="564" t="s">
        <v>313</v>
      </c>
      <c r="B283" s="365"/>
      <c r="C283" s="973"/>
      <c r="D283" s="973"/>
      <c r="E283" s="973"/>
      <c r="F283" s="973"/>
      <c r="G283" s="973"/>
      <c r="H283" s="177"/>
      <c r="I283" s="177"/>
      <c r="J283" s="177"/>
      <c r="K283" s="177"/>
      <c r="L283" s="973"/>
      <c r="M283" s="177"/>
      <c r="N283" s="177"/>
      <c r="O283" s="177"/>
      <c r="P283" s="177"/>
      <c r="Q283" s="973"/>
      <c r="R283" s="177"/>
      <c r="S283" s="177"/>
      <c r="T283" s="177"/>
      <c r="U283" s="177"/>
      <c r="V283" s="973"/>
      <c r="W283" s="177"/>
      <c r="X283" s="177"/>
      <c r="Y283" s="177"/>
      <c r="Z283" s="177"/>
      <c r="AA283" s="973"/>
      <c r="AB283" s="177"/>
      <c r="AC283" s="177"/>
      <c r="AD283" s="177"/>
      <c r="AE283" s="177"/>
      <c r="AF283" s="973"/>
      <c r="AG283" s="177"/>
      <c r="AH283" s="177"/>
      <c r="AI283" s="177"/>
      <c r="AJ283" s="177"/>
      <c r="AK283" s="973"/>
      <c r="AL283" s="177"/>
      <c r="AM283" s="177"/>
      <c r="AN283" s="177"/>
      <c r="AO283" s="177"/>
      <c r="AP283" s="973"/>
      <c r="AQ283" s="177"/>
      <c r="AR283" s="177"/>
      <c r="AS283" s="177"/>
      <c r="AT283" s="177"/>
      <c r="AU283" s="973"/>
      <c r="AV283" s="177"/>
      <c r="AW283" s="177"/>
      <c r="AX283" s="177"/>
      <c r="AY283" s="177"/>
      <c r="AZ283" s="973"/>
      <c r="BA283" s="177"/>
      <c r="BB283" s="177"/>
      <c r="BC283" s="177"/>
      <c r="BD283" s="177"/>
      <c r="BE283" s="973"/>
      <c r="BF283" s="177"/>
      <c r="BG283" s="177"/>
      <c r="BH283" s="638"/>
      <c r="BI283" s="177"/>
      <c r="BJ283" s="973"/>
      <c r="BK283" s="177"/>
      <c r="BL283" s="177"/>
      <c r="BM283" s="177"/>
      <c r="BN283" s="177"/>
      <c r="BO283" s="973"/>
      <c r="BP283" s="973"/>
      <c r="BQ283" s="973"/>
      <c r="BR283" s="973"/>
      <c r="BS283" s="374"/>
    </row>
    <row r="284" spans="1:71" s="626" customFormat="1" ht="15">
      <c r="A284" s="565" t="s">
        <v>314</v>
      </c>
      <c r="B284" s="442"/>
      <c r="C284" s="971">
        <f t="shared" si="648" ref="C284:AL284">SUM(C282:C283)</f>
        <v>2599</v>
      </c>
      <c r="D284" s="971">
        <f t="shared" si="648"/>
        <v>3038</v>
      </c>
      <c r="E284" s="971">
        <f t="shared" si="648"/>
        <v>3285</v>
      </c>
      <c r="F284" s="971">
        <f t="shared" si="648"/>
        <v>4352</v>
      </c>
      <c r="G284" s="971">
        <f t="shared" si="648"/>
        <v>4897</v>
      </c>
      <c r="H284" s="176">
        <f t="shared" si="648"/>
        <v>4913</v>
      </c>
      <c r="I284" s="176">
        <f t="shared" si="648"/>
        <v>4925</v>
      </c>
      <c r="J284" s="176">
        <f t="shared" si="648"/>
        <v>4558</v>
      </c>
      <c r="K284" s="176">
        <f t="shared" si="648"/>
        <v>5282</v>
      </c>
      <c r="L284" s="971">
        <f t="shared" si="648"/>
        <v>5282</v>
      </c>
      <c r="M284" s="176">
        <f t="shared" si="648"/>
        <v>6282</v>
      </c>
      <c r="N284" s="176">
        <f t="shared" si="648"/>
        <v>5425</v>
      </c>
      <c r="O284" s="176">
        <f t="shared" si="648"/>
        <v>5009</v>
      </c>
      <c r="P284" s="176">
        <f t="shared" si="648"/>
        <v>4971</v>
      </c>
      <c r="Q284" s="971">
        <f t="shared" si="648"/>
        <v>4971</v>
      </c>
      <c r="R284" s="176">
        <f t="shared" si="648"/>
        <v>4984</v>
      </c>
      <c r="S284" s="176">
        <f t="shared" si="648"/>
        <v>5009</v>
      </c>
      <c r="T284" s="176">
        <f t="shared" si="648"/>
        <v>5765</v>
      </c>
      <c r="U284" s="176">
        <f t="shared" si="648"/>
        <v>5360</v>
      </c>
      <c r="V284" s="971">
        <f t="shared" si="648"/>
        <v>5360</v>
      </c>
      <c r="W284" s="176">
        <f t="shared" si="648"/>
        <v>5250</v>
      </c>
      <c r="X284" s="176">
        <f t="shared" si="648"/>
        <v>5252</v>
      </c>
      <c r="Y284" s="176">
        <f t="shared" si="648"/>
        <v>5248</v>
      </c>
      <c r="Z284" s="176">
        <f t="shared" si="648"/>
        <v>5289</v>
      </c>
      <c r="AA284" s="971">
        <f t="shared" si="648"/>
        <v>5289</v>
      </c>
      <c r="AB284" s="176">
        <f t="shared" si="648"/>
        <v>5372</v>
      </c>
      <c r="AC284" s="176">
        <f t="shared" si="648"/>
        <v>5315</v>
      </c>
      <c r="AD284" s="176">
        <f t="shared" si="648"/>
        <v>5279</v>
      </c>
      <c r="AE284" s="176">
        <f t="shared" si="648"/>
        <v>5778</v>
      </c>
      <c r="AF284" s="971">
        <f t="shared" si="648"/>
        <v>5778</v>
      </c>
      <c r="AG284" s="176">
        <f t="shared" si="648"/>
        <v>5900</v>
      </c>
      <c r="AH284" s="176">
        <f t="shared" si="648"/>
        <v>6231</v>
      </c>
      <c r="AI284" s="176">
        <f t="shared" si="648"/>
        <v>6233</v>
      </c>
      <c r="AJ284" s="176">
        <f t="shared" si="648"/>
        <v>6569</v>
      </c>
      <c r="AK284" s="971">
        <f t="shared" si="648"/>
        <v>6569</v>
      </c>
      <c r="AL284" s="176">
        <f t="shared" si="648"/>
        <v>6758</v>
      </c>
      <c r="AM284" s="176">
        <f t="shared" si="649" ref="AM284">SUM(AM282:AM283)</f>
        <v>7771</v>
      </c>
      <c r="AN284" s="176">
        <f t="shared" si="650" ref="AN284:BC284">SUM(AN282:AN283)</f>
        <v>7825</v>
      </c>
      <c r="AO284" s="176">
        <f t="shared" si="650"/>
        <v>7899</v>
      </c>
      <c r="AP284" s="971">
        <f t="shared" si="650"/>
        <v>7899</v>
      </c>
      <c r="AQ284" s="176">
        <f t="shared" si="650"/>
        <v>8088</v>
      </c>
      <c r="AR284" s="176">
        <f t="shared" si="650"/>
        <v>8121</v>
      </c>
      <c r="AS284" s="176">
        <f t="shared" si="650"/>
        <v>8066</v>
      </c>
      <c r="AT284" s="176">
        <f t="shared" si="650"/>
        <v>7956</v>
      </c>
      <c r="AU284" s="971">
        <f t="shared" si="650"/>
        <v>7956</v>
      </c>
      <c r="AV284" s="176">
        <f t="shared" si="650"/>
        <v>7768</v>
      </c>
      <c r="AW284" s="176">
        <f t="shared" si="650"/>
        <v>7416</v>
      </c>
      <c r="AX284" s="176">
        <f t="shared" si="650"/>
        <v>7518</v>
      </c>
      <c r="AY284" s="176">
        <f t="shared" si="650"/>
        <v>7442</v>
      </c>
      <c r="AZ284" s="971">
        <f t="shared" si="650"/>
        <v>7442</v>
      </c>
      <c r="BA284" s="176">
        <f t="shared" si="650"/>
        <v>7420</v>
      </c>
      <c r="BB284" s="176">
        <f t="shared" si="650"/>
        <v>7087</v>
      </c>
      <c r="BC284" s="176">
        <f t="shared" si="650"/>
        <v>6961</v>
      </c>
      <c r="BD284" s="229">
        <f t="shared" si="651" ref="BD284:BE284">SUM(BD282:BD283)</f>
        <v>7364</v>
      </c>
      <c r="BE284" s="970">
        <f t="shared" si="651"/>
        <v>7364</v>
      </c>
      <c r="BF284" s="176">
        <f>SUM(BF282:BF283)</f>
        <v>7912</v>
      </c>
      <c r="BG284" s="176">
        <f>SUM(BG282:BG283)</f>
        <v>7430</v>
      </c>
      <c r="BH284" s="551">
        <f>SUM(BH282:BH283)</f>
        <v>7978</v>
      </c>
      <c r="BI284" s="569">
        <f>BH284+BI290</f>
        <v>7978</v>
      </c>
      <c r="BJ284" s="1056">
        <f>BI284</f>
        <v>7978</v>
      </c>
      <c r="BK284" s="569">
        <f>BJ284+BK290</f>
        <v>7978</v>
      </c>
      <c r="BL284" s="569">
        <f>BK284+BL290</f>
        <v>7978</v>
      </c>
      <c r="BM284" s="569">
        <f>BL284+BM290</f>
        <v>7978</v>
      </c>
      <c r="BN284" s="569">
        <f>BM284+BN290</f>
        <v>7978</v>
      </c>
      <c r="BO284" s="1056">
        <f>BN284</f>
        <v>7978</v>
      </c>
      <c r="BP284" s="971">
        <f>BO284+BP290</f>
        <v>7978</v>
      </c>
      <c r="BQ284" s="971">
        <f>BP284+BQ290</f>
        <v>7978</v>
      </c>
      <c r="BR284" s="1056">
        <f>BQ284+BR290</f>
        <v>7978</v>
      </c>
      <c r="BS284" s="374"/>
    </row>
    <row r="285" spans="1:71" s="626" customFormat="1" ht="15">
      <c r="A285" s="364" t="s">
        <v>315</v>
      </c>
      <c r="B285" s="365"/>
      <c r="C285" s="973">
        <f t="shared" si="652" ref="C285:AP285">C454</f>
        <v>8417</v>
      </c>
      <c r="D285" s="973">
        <f t="shared" si="652"/>
        <v>11056</v>
      </c>
      <c r="E285" s="973">
        <f t="shared" si="652"/>
        <v>12946</v>
      </c>
      <c r="F285" s="973">
        <f t="shared" si="652"/>
        <v>15978</v>
      </c>
      <c r="G285" s="973">
        <f t="shared" si="652"/>
        <v>14620</v>
      </c>
      <c r="H285" s="177">
        <f t="shared" si="652"/>
        <v>15676</v>
      </c>
      <c r="I285" s="177">
        <f t="shared" si="652"/>
        <v>17558</v>
      </c>
      <c r="J285" s="177">
        <f t="shared" si="652"/>
        <v>17853</v>
      </c>
      <c r="K285" s="177">
        <f t="shared" si="652"/>
        <v>18347</v>
      </c>
      <c r="L285" s="973">
        <f t="shared" si="652"/>
        <v>18347</v>
      </c>
      <c r="M285" s="177">
        <f t="shared" si="652"/>
        <v>18637</v>
      </c>
      <c r="N285" s="177">
        <f t="shared" si="652"/>
        <v>17018</v>
      </c>
      <c r="O285" s="177">
        <f t="shared" si="652"/>
        <v>17255</v>
      </c>
      <c r="P285" s="177">
        <f t="shared" si="652"/>
        <v>17708</v>
      </c>
      <c r="Q285" s="973">
        <f t="shared" si="652"/>
        <v>17708</v>
      </c>
      <c r="R285" s="177">
        <f t="shared" si="652"/>
        <v>20021</v>
      </c>
      <c r="S285" s="177">
        <f t="shared" si="652"/>
        <v>22550</v>
      </c>
      <c r="T285" s="177">
        <f t="shared" si="652"/>
        <v>22785</v>
      </c>
      <c r="U285" s="177">
        <f t="shared" si="652"/>
        <v>20482</v>
      </c>
      <c r="V285" s="973">
        <f t="shared" si="652"/>
        <v>20482</v>
      </c>
      <c r="W285" s="177">
        <f t="shared" si="652"/>
        <v>20340</v>
      </c>
      <c r="X285" s="177">
        <f t="shared" si="652"/>
        <v>21503</v>
      </c>
      <c r="Y285" s="177">
        <f t="shared" si="652"/>
        <v>21977</v>
      </c>
      <c r="Z285" s="177">
        <f t="shared" si="652"/>
        <v>24598</v>
      </c>
      <c r="AA285" s="973">
        <f t="shared" si="652"/>
        <v>24598</v>
      </c>
      <c r="AB285" s="177">
        <f t="shared" si="652"/>
        <v>24287</v>
      </c>
      <c r="AC285" s="177">
        <f t="shared" si="652"/>
        <v>23800</v>
      </c>
      <c r="AD285" s="177">
        <f t="shared" si="652"/>
        <v>23234</v>
      </c>
      <c r="AE285" s="177">
        <f t="shared" si="652"/>
        <v>23462</v>
      </c>
      <c r="AF285" s="973">
        <f t="shared" si="652"/>
        <v>23462</v>
      </c>
      <c r="AG285" s="177">
        <f t="shared" si="652"/>
        <v>26049</v>
      </c>
      <c r="AH285" s="177">
        <f t="shared" si="652"/>
        <v>28241</v>
      </c>
      <c r="AI285" s="177">
        <f t="shared" si="652"/>
        <v>29438</v>
      </c>
      <c r="AJ285" s="177">
        <f t="shared" si="652"/>
        <v>28959</v>
      </c>
      <c r="AK285" s="973">
        <f t="shared" si="652"/>
        <v>28959</v>
      </c>
      <c r="AL285" s="177">
        <f t="shared" si="652"/>
        <v>26402</v>
      </c>
      <c r="AM285" s="177">
        <f t="shared" si="652"/>
        <v>29420</v>
      </c>
      <c r="AN285" s="177">
        <f t="shared" si="652"/>
        <v>32479</v>
      </c>
      <c r="AO285" s="177">
        <f t="shared" si="652"/>
        <v>33559</v>
      </c>
      <c r="AP285" s="973">
        <f t="shared" si="652"/>
        <v>33559</v>
      </c>
      <c r="AQ285" s="177">
        <f t="shared" si="653" ref="AQ285:BC285">AQ454</f>
        <v>32103</v>
      </c>
      <c r="AR285" s="177">
        <f t="shared" si="653"/>
        <v>33735</v>
      </c>
      <c r="AS285" s="177">
        <f t="shared" si="653"/>
        <v>33552</v>
      </c>
      <c r="AT285" s="177">
        <f t="shared" si="653"/>
        <v>33253</v>
      </c>
      <c r="AU285" s="973">
        <f t="shared" si="653"/>
        <v>33253</v>
      </c>
      <c r="AV285" s="177">
        <f t="shared" si="653"/>
        <v>29527</v>
      </c>
      <c r="AW285" s="177">
        <f t="shared" si="653"/>
        <v>26387</v>
      </c>
      <c r="AX285" s="177">
        <f t="shared" si="653"/>
        <v>24152</v>
      </c>
      <c r="AY285" s="177">
        <f t="shared" si="653"/>
        <v>22365</v>
      </c>
      <c r="AZ285" s="973">
        <f t="shared" si="653"/>
        <v>22365</v>
      </c>
      <c r="BA285" s="177">
        <f t="shared" si="653"/>
        <v>19784</v>
      </c>
      <c r="BB285" s="177">
        <f t="shared" si="653"/>
        <v>20439</v>
      </c>
      <c r="BC285" s="177">
        <f t="shared" si="653"/>
        <v>22669</v>
      </c>
      <c r="BD285" s="310">
        <f t="shared" si="654" ref="BD285:BE285">BD454</f>
        <v>21985</v>
      </c>
      <c r="BE285" s="972">
        <f t="shared" si="654"/>
        <v>21985</v>
      </c>
      <c r="BF285" s="177">
        <f t="shared" si="655" ref="BF285:BR285">BF454</f>
        <v>23537</v>
      </c>
      <c r="BG285" s="177">
        <f>BG454</f>
        <v>26047</v>
      </c>
      <c r="BH285" s="638">
        <f>BH454</f>
        <v>24830</v>
      </c>
      <c r="BI285" s="177">
        <f t="shared" ca="1" si="655"/>
        <v>25398.065464017047</v>
      </c>
      <c r="BJ285" s="973">
        <f t="shared" ca="1" si="655"/>
        <v>25398.065464017047</v>
      </c>
      <c r="BK285" s="177">
        <f t="shared" ca="1" si="655"/>
        <v>26090.37257529881</v>
      </c>
      <c r="BL285" s="177">
        <f t="shared" ca="1" si="655"/>
        <v>26786.479534593054</v>
      </c>
      <c r="BM285" s="177">
        <f t="shared" ca="1" si="655"/>
        <v>27458.60150294959</v>
      </c>
      <c r="BN285" s="177">
        <f t="shared" ca="1" si="655"/>
        <v>28224.840092881961</v>
      </c>
      <c r="BO285" s="973">
        <f t="shared" ca="1" si="655"/>
        <v>28224.840092881961</v>
      </c>
      <c r="BP285" s="973">
        <f t="shared" ca="1" si="655"/>
        <v>31292.981800370406</v>
      </c>
      <c r="BQ285" s="973">
        <f t="shared" ca="1" si="655"/>
        <v>34307.800507278022</v>
      </c>
      <c r="BR285" s="973">
        <f t="shared" ca="1" si="655"/>
        <v>36311.97632860759</v>
      </c>
      <c r="BS285" s="374"/>
    </row>
    <row r="286" spans="1:71" s="627" customFormat="1" ht="15">
      <c r="A286" s="447" t="s">
        <v>316</v>
      </c>
      <c r="B286" s="517"/>
      <c r="C286" s="978">
        <f t="shared" si="656" ref="C286:AP286">SUM(C284:C285)</f>
        <v>11016</v>
      </c>
      <c r="D286" s="978">
        <f t="shared" si="656"/>
        <v>14094</v>
      </c>
      <c r="E286" s="978">
        <f t="shared" si="656"/>
        <v>16231</v>
      </c>
      <c r="F286" s="978">
        <f t="shared" si="656"/>
        <v>20330</v>
      </c>
      <c r="G286" s="978">
        <f t="shared" si="656"/>
        <v>19517</v>
      </c>
      <c r="H286" s="185">
        <f t="shared" si="656"/>
        <v>20589</v>
      </c>
      <c r="I286" s="185">
        <f t="shared" si="656"/>
        <v>22483</v>
      </c>
      <c r="J286" s="185">
        <f t="shared" si="656"/>
        <v>22411</v>
      </c>
      <c r="K286" s="185">
        <f t="shared" si="656"/>
        <v>23629</v>
      </c>
      <c r="L286" s="978">
        <f t="shared" si="656"/>
        <v>23629</v>
      </c>
      <c r="M286" s="185">
        <f t="shared" si="656"/>
        <v>24919</v>
      </c>
      <c r="N286" s="185">
        <f t="shared" si="656"/>
        <v>22443</v>
      </c>
      <c r="O286" s="185">
        <f t="shared" si="656"/>
        <v>22264</v>
      </c>
      <c r="P286" s="185">
        <f t="shared" si="656"/>
        <v>22679</v>
      </c>
      <c r="Q286" s="978">
        <f t="shared" si="656"/>
        <v>22679</v>
      </c>
      <c r="R286" s="185">
        <f t="shared" si="656"/>
        <v>25005</v>
      </c>
      <c r="S286" s="185">
        <f t="shared" si="656"/>
        <v>27559</v>
      </c>
      <c r="T286" s="185">
        <f t="shared" si="656"/>
        <v>28550</v>
      </c>
      <c r="U286" s="185">
        <f t="shared" si="656"/>
        <v>25842</v>
      </c>
      <c r="V286" s="978">
        <f t="shared" si="656"/>
        <v>25842</v>
      </c>
      <c r="W286" s="185">
        <f t="shared" si="656"/>
        <v>25590</v>
      </c>
      <c r="X286" s="185">
        <f t="shared" si="656"/>
        <v>26755</v>
      </c>
      <c r="Y286" s="185">
        <f t="shared" si="656"/>
        <v>27225</v>
      </c>
      <c r="Z286" s="185">
        <f t="shared" si="656"/>
        <v>29887</v>
      </c>
      <c r="AA286" s="978">
        <f t="shared" si="656"/>
        <v>29887</v>
      </c>
      <c r="AB286" s="185">
        <f t="shared" si="656"/>
        <v>29659</v>
      </c>
      <c r="AC286" s="185">
        <f t="shared" si="656"/>
        <v>29115</v>
      </c>
      <c r="AD286" s="185">
        <f t="shared" si="656"/>
        <v>28513</v>
      </c>
      <c r="AE286" s="185">
        <f t="shared" si="656"/>
        <v>29240</v>
      </c>
      <c r="AF286" s="978">
        <f t="shared" si="656"/>
        <v>29240</v>
      </c>
      <c r="AG286" s="185">
        <f t="shared" si="656"/>
        <v>31949</v>
      </c>
      <c r="AH286" s="185">
        <f t="shared" si="656"/>
        <v>34472</v>
      </c>
      <c r="AI286" s="185">
        <f t="shared" si="656"/>
        <v>35671</v>
      </c>
      <c r="AJ286" s="185">
        <f t="shared" si="656"/>
        <v>35528</v>
      </c>
      <c r="AK286" s="978">
        <f t="shared" si="656"/>
        <v>35528</v>
      </c>
      <c r="AL286" s="185">
        <f t="shared" si="656"/>
        <v>33160</v>
      </c>
      <c r="AM286" s="185">
        <f t="shared" si="656"/>
        <v>37191</v>
      </c>
      <c r="AN286" s="185">
        <f t="shared" si="656"/>
        <v>40304</v>
      </c>
      <c r="AO286" s="185">
        <f t="shared" si="656"/>
        <v>41458</v>
      </c>
      <c r="AP286" s="978">
        <f t="shared" si="656"/>
        <v>41458</v>
      </c>
      <c r="AQ286" s="185">
        <f t="shared" si="657" ref="AQ286:BC286">SUM(AQ284:AQ285)</f>
        <v>40191</v>
      </c>
      <c r="AR286" s="185">
        <f t="shared" si="657"/>
        <v>41856</v>
      </c>
      <c r="AS286" s="185">
        <f t="shared" si="657"/>
        <v>41618</v>
      </c>
      <c r="AT286" s="185">
        <f t="shared" si="657"/>
        <v>41209</v>
      </c>
      <c r="AU286" s="978">
        <f t="shared" si="657"/>
        <v>41209</v>
      </c>
      <c r="AV286" s="185">
        <f t="shared" si="657"/>
        <v>37295</v>
      </c>
      <c r="AW286" s="185">
        <f t="shared" si="657"/>
        <v>33803</v>
      </c>
      <c r="AX286" s="185">
        <f t="shared" si="657"/>
        <v>31670</v>
      </c>
      <c r="AY286" s="185">
        <f t="shared" si="657"/>
        <v>29807</v>
      </c>
      <c r="AZ286" s="978">
        <f t="shared" si="657"/>
        <v>29807</v>
      </c>
      <c r="BA286" s="185">
        <f t="shared" si="657"/>
        <v>27204</v>
      </c>
      <c r="BB286" s="185">
        <f t="shared" si="657"/>
        <v>27526</v>
      </c>
      <c r="BC286" s="185">
        <f t="shared" si="657"/>
        <v>29630</v>
      </c>
      <c r="BD286" s="100">
        <f t="shared" si="658" ref="BD286:BE286">SUM(BD284:BD285)</f>
        <v>29349</v>
      </c>
      <c r="BE286" s="977">
        <f t="shared" si="658"/>
        <v>29349</v>
      </c>
      <c r="BF286" s="185">
        <f t="shared" si="659" ref="BF286:BR286">SUM(BF284:BF285)</f>
        <v>31449</v>
      </c>
      <c r="BG286" s="185">
        <f>SUM(BG284:BG285)</f>
        <v>33477</v>
      </c>
      <c r="BH286" s="552">
        <f>SUM(BH284:BH285)</f>
        <v>32808</v>
      </c>
      <c r="BI286" s="570">
        <f t="shared" ca="1" si="659"/>
        <v>33376.065464017047</v>
      </c>
      <c r="BJ286" s="1057">
        <f t="shared" ca="1" si="659"/>
        <v>33376.065464017047</v>
      </c>
      <c r="BK286" s="570">
        <f t="shared" ca="1" si="659"/>
        <v>34068.37257529881</v>
      </c>
      <c r="BL286" s="570">
        <f t="shared" ca="1" si="659"/>
        <v>34764.479534593054</v>
      </c>
      <c r="BM286" s="570">
        <f t="shared" ca="1" si="659"/>
        <v>35436.60150294959</v>
      </c>
      <c r="BN286" s="570">
        <f t="shared" ca="1" si="659"/>
        <v>36202.840092881961</v>
      </c>
      <c r="BO286" s="1057">
        <f t="shared" ca="1" si="659"/>
        <v>36202.840092881961</v>
      </c>
      <c r="BP286" s="978">
        <f t="shared" ca="1" si="659"/>
        <v>39270.981800370406</v>
      </c>
      <c r="BQ286" s="978">
        <f t="shared" ca="1" si="659"/>
        <v>42285.800507278022</v>
      </c>
      <c r="BR286" s="1057">
        <f t="shared" ca="1" si="659"/>
        <v>44289.97632860759</v>
      </c>
      <c r="BS286" s="376"/>
    </row>
    <row r="287" spans="1:71" s="628" customFormat="1" ht="15">
      <c r="A287" s="447"/>
      <c r="B287" s="518"/>
      <c r="C287" s="1055"/>
      <c r="D287" s="1055"/>
      <c r="E287" s="1055"/>
      <c r="F287" s="1055"/>
      <c r="G287" s="1055"/>
      <c r="H287" s="245"/>
      <c r="I287" s="245"/>
      <c r="J287" s="245"/>
      <c r="K287" s="245"/>
      <c r="L287" s="1055"/>
      <c r="M287" s="245"/>
      <c r="N287" s="245"/>
      <c r="O287" s="245"/>
      <c r="P287" s="245"/>
      <c r="Q287" s="1055"/>
      <c r="R287" s="245"/>
      <c r="S287" s="245"/>
      <c r="T287" s="245"/>
      <c r="U287" s="245"/>
      <c r="V287" s="1055"/>
      <c r="W287" s="245"/>
      <c r="X287" s="245"/>
      <c r="Y287" s="245"/>
      <c r="Z287" s="245"/>
      <c r="AA287" s="1055"/>
      <c r="AB287" s="245"/>
      <c r="AC287" s="245"/>
      <c r="AD287" s="245"/>
      <c r="AE287" s="245"/>
      <c r="AF287" s="1055"/>
      <c r="AG287" s="245"/>
      <c r="AH287" s="245"/>
      <c r="AI287" s="245"/>
      <c r="AJ287" s="245"/>
      <c r="AK287" s="1055"/>
      <c r="AL287" s="245"/>
      <c r="AM287" s="245"/>
      <c r="AN287" s="245"/>
      <c r="AO287" s="245"/>
      <c r="AP287" s="1055"/>
      <c r="AQ287" s="245"/>
      <c r="AR287" s="245"/>
      <c r="AS287" s="245"/>
      <c r="AT287" s="245"/>
      <c r="AU287" s="1055"/>
      <c r="AV287" s="245"/>
      <c r="AW287" s="245"/>
      <c r="AX287" s="245"/>
      <c r="AY287" s="245"/>
      <c r="AZ287" s="1055"/>
      <c r="BA287" s="245"/>
      <c r="BB287" s="245"/>
      <c r="BC287" s="245"/>
      <c r="BD287" s="245"/>
      <c r="BE287" s="1055"/>
      <c r="BF287" s="245"/>
      <c r="BG287" s="245"/>
      <c r="BH287" s="550"/>
      <c r="BI287" s="519"/>
      <c r="BJ287" s="1058"/>
      <c r="BK287" s="519"/>
      <c r="BL287" s="519"/>
      <c r="BM287" s="519"/>
      <c r="BN287" s="519"/>
      <c r="BO287" s="1058"/>
      <c r="BP287" s="1055"/>
      <c r="BQ287" s="1055"/>
      <c r="BR287" s="1058"/>
      <c r="BS287" s="377"/>
    </row>
    <row r="288" spans="1:71" s="629" customFormat="1" ht="15">
      <c r="A288" s="566" t="s">
        <v>317</v>
      </c>
      <c r="B288" s="445"/>
      <c r="C288" s="996">
        <f t="shared" si="660" ref="C288:AU288">C284/C286</f>
        <v>0.23592955700798837</v>
      </c>
      <c r="D288" s="996">
        <f t="shared" si="660"/>
        <v>0.21555271746842627</v>
      </c>
      <c r="E288" s="996">
        <f t="shared" si="660"/>
        <v>0.20239048733904258</v>
      </c>
      <c r="F288" s="996">
        <f t="shared" si="660"/>
        <v>0.21406787998032464</v>
      </c>
      <c r="G288" s="996">
        <f t="shared" si="660"/>
        <v>0.25090946354460214</v>
      </c>
      <c r="H288" s="371">
        <f t="shared" si="660"/>
        <v>0.2386225654475691</v>
      </c>
      <c r="I288" s="371">
        <f t="shared" si="660"/>
        <v>0.21905439665525064</v>
      </c>
      <c r="J288" s="371">
        <f t="shared" si="660"/>
        <v>0.20338226763642853</v>
      </c>
      <c r="K288" s="371">
        <f t="shared" si="660"/>
        <v>0.22353887172542214</v>
      </c>
      <c r="L288" s="996">
        <f t="shared" si="660"/>
        <v>0.22353887172542214</v>
      </c>
      <c r="M288" s="371">
        <f t="shared" si="660"/>
        <v>0.25209679361130061</v>
      </c>
      <c r="N288" s="371">
        <f t="shared" si="660"/>
        <v>0.24172347725348661</v>
      </c>
      <c r="O288" s="371">
        <f t="shared" si="660"/>
        <v>0.22498203377650017</v>
      </c>
      <c r="P288" s="371">
        <f t="shared" si="660"/>
        <v>0.21918955862251421</v>
      </c>
      <c r="Q288" s="996">
        <f t="shared" si="660"/>
        <v>0.21918955862251421</v>
      </c>
      <c r="R288" s="371">
        <f t="shared" si="660"/>
        <v>0.19932013597280543</v>
      </c>
      <c r="S288" s="371">
        <f t="shared" si="660"/>
        <v>0.1817555063681556</v>
      </c>
      <c r="T288" s="371">
        <f t="shared" si="660"/>
        <v>0.20192644483362521</v>
      </c>
      <c r="U288" s="371">
        <f t="shared" si="660"/>
        <v>0.20741428681990559</v>
      </c>
      <c r="V288" s="996">
        <f t="shared" si="660"/>
        <v>0.20741428681990559</v>
      </c>
      <c r="W288" s="371">
        <f t="shared" si="660"/>
        <v>0.20515826494724501</v>
      </c>
      <c r="X288" s="371">
        <f t="shared" si="660"/>
        <v>0.19629975705475611</v>
      </c>
      <c r="Y288" s="371">
        <f t="shared" si="660"/>
        <v>0.19276400367309457</v>
      </c>
      <c r="Z288" s="371">
        <f t="shared" si="660"/>
        <v>0.17696657409576069</v>
      </c>
      <c r="AA288" s="996">
        <f t="shared" si="660"/>
        <v>0.17696657409576069</v>
      </c>
      <c r="AB288" s="371">
        <f t="shared" si="660"/>
        <v>0.18112545938838126</v>
      </c>
      <c r="AC288" s="371">
        <f t="shared" si="660"/>
        <v>0.18255194916709599</v>
      </c>
      <c r="AD288" s="371">
        <f t="shared" si="660"/>
        <v>0.18514361870024199</v>
      </c>
      <c r="AE288" s="371">
        <f t="shared" si="660"/>
        <v>0.19760601915184678</v>
      </c>
      <c r="AF288" s="996">
        <f t="shared" si="660"/>
        <v>0.19760601915184678</v>
      </c>
      <c r="AG288" s="371">
        <f t="shared" si="660"/>
        <v>0.18466931672352813</v>
      </c>
      <c r="AH288" s="371">
        <f t="shared" si="660"/>
        <v>0.18075539568345322</v>
      </c>
      <c r="AI288" s="371">
        <f t="shared" si="660"/>
        <v>0.17473577976507526</v>
      </c>
      <c r="AJ288" s="371">
        <f t="shared" si="660"/>
        <v>0.18489641972528709</v>
      </c>
      <c r="AK288" s="996">
        <f t="shared" si="660"/>
        <v>0.18489641972528709</v>
      </c>
      <c r="AL288" s="371">
        <f t="shared" si="660"/>
        <v>0.20379975874547648</v>
      </c>
      <c r="AM288" s="371">
        <f t="shared" si="660"/>
        <v>0.20894840149498534</v>
      </c>
      <c r="AN288" s="371">
        <f t="shared" si="660"/>
        <v>0.19414946407304487</v>
      </c>
      <c r="AO288" s="371">
        <f t="shared" si="660"/>
        <v>0.19053017511698586</v>
      </c>
      <c r="AP288" s="996">
        <f t="shared" si="660"/>
        <v>0.19053017511698586</v>
      </c>
      <c r="AQ288" s="371">
        <f t="shared" si="661" ref="AQ288:AR288">AQ284/AQ286</f>
        <v>0.20123908337687543</v>
      </c>
      <c r="AR288" s="158">
        <f t="shared" si="661"/>
        <v>0.19402236238532111</v>
      </c>
      <c r="AS288" s="371">
        <f t="shared" si="660"/>
        <v>0.1938103705127589</v>
      </c>
      <c r="AT288" s="371">
        <f t="shared" si="660"/>
        <v>0.19306462180591619</v>
      </c>
      <c r="AU288" s="996">
        <f t="shared" si="660"/>
        <v>0.19306462180591619</v>
      </c>
      <c r="AV288" s="371">
        <f t="shared" si="662" ref="AV288:AZ288">AV284/AV286</f>
        <v>0.20828529293470974</v>
      </c>
      <c r="AW288" s="371">
        <f t="shared" si="662"/>
        <v>0.21938881164393692</v>
      </c>
      <c r="AX288" s="371">
        <f t="shared" si="662"/>
        <v>0.2373855383643827</v>
      </c>
      <c r="AY288" s="371">
        <f t="shared" si="662"/>
        <v>0.24967289562854364</v>
      </c>
      <c r="AZ288" s="996">
        <f t="shared" si="662"/>
        <v>0.24967289562854364</v>
      </c>
      <c r="BA288" s="371">
        <f t="shared" si="663" ref="BA288:BJ288">BA284/BA286</f>
        <v>0.2727540067637112</v>
      </c>
      <c r="BB288" s="371">
        <f t="shared" si="663"/>
        <v>0.25746566882220445</v>
      </c>
      <c r="BC288" s="371">
        <f>BC284/BC286</f>
        <v>0.23493081336483293</v>
      </c>
      <c r="BD288" s="158">
        <f t="shared" si="664" ref="BD288:BE288">BD284/BD286</f>
        <v>0.25091144502368051</v>
      </c>
      <c r="BE288" s="995">
        <f t="shared" si="664"/>
        <v>0.25091144502368051</v>
      </c>
      <c r="BF288" s="371">
        <f>BF284/BF286</f>
        <v>0.25158192629336384</v>
      </c>
      <c r="BG288" s="371">
        <f>BG284/BG286</f>
        <v>0.22194342384323565</v>
      </c>
      <c r="BH288" s="748">
        <f>BH284/BH286</f>
        <v>0.24317239697634724</v>
      </c>
      <c r="BI288" s="444">
        <f ca="1">BI284/BI286</f>
        <v>0.23903356759055777</v>
      </c>
      <c r="BJ288" s="1059">
        <f t="shared" ca="1" si="663"/>
        <v>0.23903356759055777</v>
      </c>
      <c r="BK288" s="444">
        <f ca="1" t="shared" si="665" ref="BK288:BR288">BK284/BK286</f>
        <v>0.23417614041782639</v>
      </c>
      <c r="BL288" s="444">
        <f t="shared" ca="1" si="665"/>
        <v>0.22948711175328657</v>
      </c>
      <c r="BM288" s="444">
        <f t="shared" ca="1" si="665"/>
        <v>0.22513445594764345</v>
      </c>
      <c r="BN288" s="444">
        <f t="shared" ca="1" si="665"/>
        <v>0.22036945111299702</v>
      </c>
      <c r="BO288" s="1059">
        <f t="shared" ca="1" si="665"/>
        <v>0.22036945111299702</v>
      </c>
      <c r="BP288" s="996">
        <f t="shared" ca="1" si="665"/>
        <v>0.20315254761277068</v>
      </c>
      <c r="BQ288" s="996">
        <f t="shared" ca="1" si="665"/>
        <v>0.1886685342193502</v>
      </c>
      <c r="BR288" s="1059">
        <f t="shared" ca="1" si="665"/>
        <v>0.18013105134235272</v>
      </c>
      <c r="BS288" s="378"/>
    </row>
    <row r="289" spans="1:71" s="628" customFormat="1" ht="15">
      <c r="A289" s="447"/>
      <c r="B289" s="518"/>
      <c r="C289" s="1055"/>
      <c r="D289" s="1055"/>
      <c r="E289" s="1055"/>
      <c r="F289" s="1055"/>
      <c r="G289" s="1055"/>
      <c r="H289" s="245"/>
      <c r="I289" s="245"/>
      <c r="J289" s="245"/>
      <c r="K289" s="245"/>
      <c r="L289" s="1055"/>
      <c r="M289" s="245"/>
      <c r="N289" s="245"/>
      <c r="O289" s="245"/>
      <c r="P289" s="245"/>
      <c r="Q289" s="1055"/>
      <c r="R289" s="245"/>
      <c r="S289" s="245"/>
      <c r="T289" s="245"/>
      <c r="U289" s="245"/>
      <c r="V289" s="1055"/>
      <c r="W289" s="245"/>
      <c r="X289" s="245"/>
      <c r="Y289" s="245"/>
      <c r="Z289" s="245"/>
      <c r="AA289" s="1055"/>
      <c r="AB289" s="245"/>
      <c r="AC289" s="245"/>
      <c r="AD289" s="245"/>
      <c r="AE289" s="245"/>
      <c r="AF289" s="1055"/>
      <c r="AG289" s="245"/>
      <c r="AH289" s="245"/>
      <c r="AI289" s="245"/>
      <c r="AJ289" s="245"/>
      <c r="AK289" s="1055"/>
      <c r="AL289" s="245"/>
      <c r="AM289" s="245"/>
      <c r="AN289" s="245"/>
      <c r="AO289" s="245"/>
      <c r="AP289" s="1055"/>
      <c r="AQ289" s="245"/>
      <c r="AR289" s="245"/>
      <c r="AS289" s="245"/>
      <c r="AT289" s="245"/>
      <c r="AU289" s="1055"/>
      <c r="AV289" s="245"/>
      <c r="AW289" s="245"/>
      <c r="AX289" s="245"/>
      <c r="AY289" s="245"/>
      <c r="AZ289" s="1055"/>
      <c r="BA289" s="245"/>
      <c r="BB289" s="245"/>
      <c r="BC289" s="245"/>
      <c r="BD289" s="245"/>
      <c r="BE289" s="1055"/>
      <c r="BF289" s="245"/>
      <c r="BG289" s="245"/>
      <c r="BH289" s="550"/>
      <c r="BI289" s="519"/>
      <c r="BJ289" s="1058"/>
      <c r="BK289" s="519"/>
      <c r="BL289" s="519"/>
      <c r="BM289" s="519"/>
      <c r="BN289" s="519"/>
      <c r="BO289" s="1058"/>
      <c r="BP289" s="1055"/>
      <c r="BQ289" s="1055"/>
      <c r="BR289" s="1058"/>
      <c r="BS289" s="377"/>
    </row>
    <row r="290" spans="1:71" s="626" customFormat="1" ht="15">
      <c r="A290" s="441" t="s">
        <v>318</v>
      </c>
      <c r="B290" s="442"/>
      <c r="C290" s="971">
        <f t="shared" si="666" ref="C290:AM290">C397+C398</f>
        <v>845</v>
      </c>
      <c r="D290" s="971">
        <f t="shared" si="666"/>
        <v>297</v>
      </c>
      <c r="E290" s="971">
        <f t="shared" si="666"/>
        <v>158</v>
      </c>
      <c r="F290" s="971">
        <f t="shared" si="666"/>
        <v>1165</v>
      </c>
      <c r="G290" s="971">
        <f t="shared" si="666"/>
        <v>700</v>
      </c>
      <c r="H290" s="176">
        <f t="shared" si="666"/>
        <v>0</v>
      </c>
      <c r="I290" s="176">
        <f t="shared" si="666"/>
        <v>0</v>
      </c>
      <c r="J290" s="176">
        <f t="shared" si="666"/>
        <v>-335</v>
      </c>
      <c r="K290" s="176">
        <f t="shared" si="666"/>
        <v>750</v>
      </c>
      <c r="L290" s="971">
        <f t="shared" si="666"/>
        <v>415</v>
      </c>
      <c r="M290" s="176">
        <f t="shared" si="666"/>
        <v>989</v>
      </c>
      <c r="N290" s="176">
        <f t="shared" si="666"/>
        <v>-841</v>
      </c>
      <c r="O290" s="176">
        <f t="shared" si="666"/>
        <v>-422</v>
      </c>
      <c r="P290" s="176">
        <f t="shared" si="666"/>
        <v>0</v>
      </c>
      <c r="Q290" s="971">
        <f t="shared" si="666"/>
        <v>-274</v>
      </c>
      <c r="R290" s="176">
        <f t="shared" si="666"/>
        <v>0</v>
      </c>
      <c r="S290" s="176">
        <f t="shared" si="666"/>
        <v>-1</v>
      </c>
      <c r="T290" s="176">
        <f t="shared" si="666"/>
        <v>757</v>
      </c>
      <c r="U290" s="176">
        <f t="shared" si="666"/>
        <v>-380</v>
      </c>
      <c r="V290" s="971">
        <f t="shared" si="666"/>
        <v>376</v>
      </c>
      <c r="W290" s="176">
        <f t="shared" si="666"/>
        <v>-130</v>
      </c>
      <c r="X290" s="176">
        <f t="shared" si="666"/>
        <v>-2</v>
      </c>
      <c r="Y290" s="176">
        <f t="shared" si="666"/>
        <v>-4</v>
      </c>
      <c r="Z290" s="176">
        <f t="shared" si="666"/>
        <v>15</v>
      </c>
      <c r="AA290" s="971">
        <f t="shared" si="666"/>
        <v>-121</v>
      </c>
      <c r="AB290" s="176">
        <f t="shared" si="666"/>
        <v>2</v>
      </c>
      <c r="AC290" s="176">
        <f t="shared" si="666"/>
        <v>-2</v>
      </c>
      <c r="AD290" s="176">
        <f t="shared" si="666"/>
        <v>0</v>
      </c>
      <c r="AE290" s="176">
        <f t="shared" si="666"/>
        <v>470</v>
      </c>
      <c r="AF290" s="971">
        <f t="shared" si="666"/>
        <v>470</v>
      </c>
      <c r="AG290" s="176">
        <f t="shared" si="666"/>
        <v>0</v>
      </c>
      <c r="AH290" s="176">
        <f t="shared" si="666"/>
        <v>268</v>
      </c>
      <c r="AI290" s="176">
        <f t="shared" si="666"/>
        <v>0</v>
      </c>
      <c r="AJ290" s="176">
        <f t="shared" si="666"/>
        <v>347</v>
      </c>
      <c r="AK290" s="971">
        <f t="shared" si="666"/>
        <v>615</v>
      </c>
      <c r="AL290" s="176">
        <f t="shared" si="666"/>
        <v>195</v>
      </c>
      <c r="AM290" s="176">
        <f t="shared" si="666"/>
        <v>1000</v>
      </c>
      <c r="AN290" s="176">
        <f t="shared" si="667" ref="AN290:AO290">AN397+AN398</f>
        <v>0</v>
      </c>
      <c r="AO290" s="176">
        <f t="shared" si="667"/>
        <v>0</v>
      </c>
      <c r="AP290" s="971">
        <f>AP397+AP398</f>
        <v>1195</v>
      </c>
      <c r="AQ290" s="176">
        <f t="shared" si="668" ref="AQ290:AR290">AQ397+AQ398</f>
        <v>400</v>
      </c>
      <c r="AR290" s="176">
        <f t="shared" si="668"/>
        <v>53</v>
      </c>
      <c r="AS290" s="176">
        <f t="shared" si="669" ref="AS290:AT290">AS397+AS398</f>
        <v>0</v>
      </c>
      <c r="AT290" s="176">
        <f t="shared" si="669"/>
        <v>0</v>
      </c>
      <c r="AU290" s="971">
        <f>AU397+AU398</f>
        <v>453</v>
      </c>
      <c r="AV290" s="176">
        <f>AV397+AV398</f>
        <v>0</v>
      </c>
      <c r="AW290" s="176">
        <f t="shared" si="670" ref="AW290:AX290">AW397+AW398</f>
        <v>0</v>
      </c>
      <c r="AX290" s="176">
        <f t="shared" si="670"/>
        <v>311</v>
      </c>
      <c r="AY290" s="176">
        <f t="shared" si="671" ref="AY290:BB290">AY397+AY398</f>
        <v>-450</v>
      </c>
      <c r="AZ290" s="971">
        <f t="shared" si="671"/>
        <v>-139</v>
      </c>
      <c r="BA290" s="176">
        <f t="shared" si="671"/>
        <v>0</v>
      </c>
      <c r="BB290" s="176">
        <f t="shared" si="671"/>
        <v>0</v>
      </c>
      <c r="BC290" s="176">
        <f>BC397+BC398</f>
        <v>0</v>
      </c>
      <c r="BD290" s="176">
        <f t="shared" si="672" ref="BD290:BE290">BD397+BD398</f>
        <v>204</v>
      </c>
      <c r="BE290" s="971">
        <f t="shared" si="672"/>
        <v>204</v>
      </c>
      <c r="BF290" s="176">
        <f t="shared" si="673" ref="BF290:BG290">BF397+BF398</f>
        <v>823</v>
      </c>
      <c r="BG290" s="176">
        <f t="shared" si="673"/>
        <v>-194</v>
      </c>
      <c r="BH290" s="551">
        <f>BH397+BH398</f>
        <v>0</v>
      </c>
      <c r="BI290" s="938">
        <v>0</v>
      </c>
      <c r="BJ290" s="1056">
        <f>BJ397+BJ398</f>
        <v>629</v>
      </c>
      <c r="BK290" s="938">
        <v>0</v>
      </c>
      <c r="BL290" s="938">
        <v>0</v>
      </c>
      <c r="BM290" s="938">
        <v>0</v>
      </c>
      <c r="BN290" s="938">
        <v>0</v>
      </c>
      <c r="BO290" s="1056">
        <f>BO397+BO398</f>
        <v>0</v>
      </c>
      <c r="BP290" s="992">
        <v>0</v>
      </c>
      <c r="BQ290" s="992">
        <v>0</v>
      </c>
      <c r="BR290" s="1060">
        <v>0</v>
      </c>
      <c r="BS290" s="374"/>
    </row>
    <row r="291" spans="1:71" s="626" customFormat="1" ht="15">
      <c r="A291" s="441" t="s">
        <v>319</v>
      </c>
      <c r="B291" s="442"/>
      <c r="C291" s="971">
        <f t="shared" si="674" ref="C291:AM291">C396+C401</f>
        <v>7</v>
      </c>
      <c r="D291" s="971">
        <f t="shared" si="674"/>
        <v>-76</v>
      </c>
      <c r="E291" s="971">
        <f t="shared" si="674"/>
        <v>-282</v>
      </c>
      <c r="F291" s="971">
        <f t="shared" si="674"/>
        <v>-86</v>
      </c>
      <c r="G291" s="971">
        <f t="shared" si="674"/>
        <v>-725</v>
      </c>
      <c r="H291" s="176">
        <f t="shared" si="674"/>
        <v>-405</v>
      </c>
      <c r="I291" s="176">
        <f t="shared" si="674"/>
        <v>-96</v>
      </c>
      <c r="J291" s="176">
        <f t="shared" si="674"/>
        <v>-172</v>
      </c>
      <c r="K291" s="176">
        <f t="shared" si="674"/>
        <v>-504</v>
      </c>
      <c r="L291" s="971">
        <f t="shared" si="674"/>
        <v>-1177</v>
      </c>
      <c r="M291" s="176">
        <f t="shared" si="674"/>
        <v>-597</v>
      </c>
      <c r="N291" s="176">
        <f t="shared" si="674"/>
        <v>-231</v>
      </c>
      <c r="O291" s="176">
        <f t="shared" si="674"/>
        <v>-225</v>
      </c>
      <c r="P291" s="176">
        <f t="shared" si="674"/>
        <v>-226</v>
      </c>
      <c r="Q291" s="971">
        <f t="shared" si="674"/>
        <v>-1279</v>
      </c>
      <c r="R291" s="176">
        <f t="shared" si="674"/>
        <v>-605</v>
      </c>
      <c r="S291" s="176">
        <f t="shared" si="674"/>
        <v>-390</v>
      </c>
      <c r="T291" s="176">
        <f t="shared" si="674"/>
        <v>-190</v>
      </c>
      <c r="U291" s="176">
        <f t="shared" si="674"/>
        <v>-191</v>
      </c>
      <c r="V291" s="971">
        <f t="shared" si="674"/>
        <v>-1376</v>
      </c>
      <c r="W291" s="176">
        <f t="shared" si="674"/>
        <v>-599</v>
      </c>
      <c r="X291" s="176">
        <f t="shared" si="674"/>
        <v>-197</v>
      </c>
      <c r="Y291" s="176">
        <f t="shared" si="674"/>
        <v>-234</v>
      </c>
      <c r="Z291" s="176">
        <f t="shared" si="674"/>
        <v>-288</v>
      </c>
      <c r="AA291" s="971">
        <f t="shared" si="674"/>
        <v>-1318</v>
      </c>
      <c r="AB291" s="176">
        <f t="shared" si="674"/>
        <v>-282</v>
      </c>
      <c r="AC291" s="176">
        <f t="shared" si="674"/>
        <v>-307</v>
      </c>
      <c r="AD291" s="176">
        <f t="shared" si="674"/>
        <v>-298</v>
      </c>
      <c r="AE291" s="176">
        <f t="shared" si="674"/>
        <v>-356</v>
      </c>
      <c r="AF291" s="971">
        <f t="shared" si="674"/>
        <v>-1243</v>
      </c>
      <c r="AG291" s="176">
        <f t="shared" si="674"/>
        <v>-478</v>
      </c>
      <c r="AH291" s="176">
        <f t="shared" si="674"/>
        <v>-343</v>
      </c>
      <c r="AI291" s="176">
        <f t="shared" si="674"/>
        <v>-298</v>
      </c>
      <c r="AJ291" s="176">
        <f t="shared" si="674"/>
        <v>-459</v>
      </c>
      <c r="AK291" s="971">
        <f t="shared" si="674"/>
        <v>-1578</v>
      </c>
      <c r="AL291" s="176">
        <f t="shared" si="674"/>
        <v>-440</v>
      </c>
      <c r="AM291" s="176">
        <f t="shared" si="674"/>
        <v>-176</v>
      </c>
      <c r="AN291" s="176">
        <f t="shared" si="675" ref="AN291:AO291">AN396+AN401</f>
        <v>-394</v>
      </c>
      <c r="AO291" s="176">
        <f t="shared" si="675"/>
        <v>-493</v>
      </c>
      <c r="AP291" s="971">
        <f>AP396+AP401</f>
        <v>-1503</v>
      </c>
      <c r="AQ291" s="176">
        <f t="shared" si="676" ref="AQ291:AR291">AQ396+AQ401</f>
        <v>-641</v>
      </c>
      <c r="AR291" s="176">
        <f t="shared" si="676"/>
        <v>-496</v>
      </c>
      <c r="AS291" s="176">
        <f t="shared" si="677" ref="AS291:AT291">AS396+AS401</f>
        <v>-526</v>
      </c>
      <c r="AT291" s="176">
        <f t="shared" si="677"/>
        <v>-612</v>
      </c>
      <c r="AU291" s="971">
        <f>AU396+AU401</f>
        <v>-2275</v>
      </c>
      <c r="AV291" s="176">
        <f>AV396+AV401</f>
        <v>-491</v>
      </c>
      <c r="AW291" s="176">
        <f t="shared" si="678" ref="AW291:AX291">AW396+AW401</f>
        <v>-649</v>
      </c>
      <c r="AX291" s="176">
        <f t="shared" si="678"/>
        <v>-646</v>
      </c>
      <c r="AY291" s="176">
        <f>AY396+AY401</f>
        <v>-598</v>
      </c>
      <c r="AZ291" s="971">
        <f t="shared" si="679" ref="AZ291:BB291">AZ396+AZ401</f>
        <v>-2384</v>
      </c>
      <c r="BA291" s="176">
        <f t="shared" si="679"/>
        <v>-698</v>
      </c>
      <c r="BB291" s="176">
        <f t="shared" si="679"/>
        <v>-697</v>
      </c>
      <c r="BC291" s="176">
        <f>BC396+BC401</f>
        <v>-696</v>
      </c>
      <c r="BD291" s="176">
        <f>BD396+BD401</f>
        <v>-693</v>
      </c>
      <c r="BE291" s="971">
        <f t="shared" si="680" ref="BE291:BG291">BE396+BE401</f>
        <v>-2784</v>
      </c>
      <c r="BF291" s="176">
        <f t="shared" si="680"/>
        <v>-744</v>
      </c>
      <c r="BG291" s="176">
        <f t="shared" si="680"/>
        <v>-794</v>
      </c>
      <c r="BH291" s="551">
        <f>BH396+BH401</f>
        <v>-491</v>
      </c>
      <c r="BI291" s="938">
        <v>0</v>
      </c>
      <c r="BJ291" s="1056">
        <f>BJ396+BJ401</f>
        <v>-2029</v>
      </c>
      <c r="BK291" s="938">
        <v>0</v>
      </c>
      <c r="BL291" s="938">
        <v>0</v>
      </c>
      <c r="BM291" s="938">
        <v>0</v>
      </c>
      <c r="BN291" s="938">
        <v>0</v>
      </c>
      <c r="BO291" s="1056">
        <f>BO396+BO401</f>
        <v>0</v>
      </c>
      <c r="BP291" s="992">
        <v>0</v>
      </c>
      <c r="BQ291" s="992">
        <v>0</v>
      </c>
      <c r="BR291" s="1060">
        <v>0</v>
      </c>
      <c r="BS291" s="374"/>
    </row>
    <row r="292" spans="1:71" s="630" customFormat="1" ht="15">
      <c r="A292" s="567" t="s">
        <v>320</v>
      </c>
      <c r="B292" s="520"/>
      <c r="C292" s="1052"/>
      <c r="D292" s="1052"/>
      <c r="E292" s="1052"/>
      <c r="F292" s="1052"/>
      <c r="G292" s="1052"/>
      <c r="H292" s="298"/>
      <c r="I292" s="298"/>
      <c r="J292" s="298"/>
      <c r="K292" s="298"/>
      <c r="L292" s="1052"/>
      <c r="M292" s="298"/>
      <c r="N292" s="298"/>
      <c r="O292" s="298"/>
      <c r="P292" s="298"/>
      <c r="Q292" s="1052"/>
      <c r="R292" s="298"/>
      <c r="S292" s="298"/>
      <c r="T292" s="298"/>
      <c r="U292" s="298"/>
      <c r="V292" s="1052"/>
      <c r="W292" s="298"/>
      <c r="X292" s="298"/>
      <c r="Y292" s="298"/>
      <c r="Z292" s="298"/>
      <c r="AA292" s="1052"/>
      <c r="AB292" s="298"/>
      <c r="AC292" s="298"/>
      <c r="AD292" s="298"/>
      <c r="AE292" s="298"/>
      <c r="AF292" s="1052"/>
      <c r="AG292" s="298"/>
      <c r="AH292" s="298"/>
      <c r="AI292" s="298"/>
      <c r="AJ292" s="298"/>
      <c r="AK292" s="1052"/>
      <c r="AL292" s="298"/>
      <c r="AM292" s="298"/>
      <c r="AN292" s="298"/>
      <c r="AO292" s="298"/>
      <c r="AP292" s="1052"/>
      <c r="AQ292" s="298"/>
      <c r="AR292" s="298"/>
      <c r="AS292" s="298"/>
      <c r="AT292" s="298"/>
      <c r="AU292" s="1052"/>
      <c r="AV292" s="298"/>
      <c r="AW292" s="298"/>
      <c r="AX292" s="298"/>
      <c r="AY292" s="298"/>
      <c r="AZ292" s="1052"/>
      <c r="BA292" s="298"/>
      <c r="BB292" s="298"/>
      <c r="BC292" s="298"/>
      <c r="BD292" s="298"/>
      <c r="BE292" s="1052"/>
      <c r="BF292" s="298"/>
      <c r="BG292" s="298"/>
      <c r="BH292" s="797"/>
      <c r="BI292" s="940">
        <v>80</v>
      </c>
      <c r="BJ292" s="1061">
        <f>AVERAGE(BF292,BG292,BH292,BI292)</f>
        <v>80</v>
      </c>
      <c r="BK292" s="940">
        <v>80</v>
      </c>
      <c r="BL292" s="940">
        <v>80</v>
      </c>
      <c r="BM292" s="940">
        <v>80</v>
      </c>
      <c r="BN292" s="940">
        <v>80</v>
      </c>
      <c r="BO292" s="1061">
        <f>AVERAGE(BK292,BL292,BM292,BN292)</f>
        <v>80</v>
      </c>
      <c r="BP292" s="1062">
        <v>80</v>
      </c>
      <c r="BQ292" s="1062">
        <v>80</v>
      </c>
      <c r="BR292" s="1063">
        <v>80</v>
      </c>
      <c r="BS292" s="381"/>
    </row>
    <row r="293" spans="1:71" s="628" customFormat="1" ht="15">
      <c r="A293" s="447"/>
      <c r="B293" s="518"/>
      <c r="C293" s="1055"/>
      <c r="D293" s="1055"/>
      <c r="E293" s="1055"/>
      <c r="F293" s="1055"/>
      <c r="G293" s="1055"/>
      <c r="H293" s="245"/>
      <c r="I293" s="245"/>
      <c r="J293" s="245"/>
      <c r="K293" s="245"/>
      <c r="L293" s="1055"/>
      <c r="M293" s="245"/>
      <c r="N293" s="245"/>
      <c r="O293" s="245"/>
      <c r="P293" s="245"/>
      <c r="Q293" s="1055"/>
      <c r="R293" s="245"/>
      <c r="S293" s="245"/>
      <c r="T293" s="245"/>
      <c r="U293" s="245"/>
      <c r="V293" s="1055"/>
      <c r="W293" s="245"/>
      <c r="X293" s="245"/>
      <c r="Y293" s="245"/>
      <c r="Z293" s="245"/>
      <c r="AA293" s="1055"/>
      <c r="AB293" s="245"/>
      <c r="AC293" s="245"/>
      <c r="AD293" s="245"/>
      <c r="AE293" s="245"/>
      <c r="AF293" s="1055"/>
      <c r="AG293" s="245"/>
      <c r="AH293" s="245"/>
      <c r="AI293" s="245"/>
      <c r="AJ293" s="245"/>
      <c r="AK293" s="1055"/>
      <c r="AL293" s="245"/>
      <c r="AM293" s="245"/>
      <c r="AN293" s="245"/>
      <c r="AO293" s="245"/>
      <c r="AP293" s="1055"/>
      <c r="AQ293" s="245"/>
      <c r="AR293" s="245"/>
      <c r="AS293" s="245"/>
      <c r="AT293" s="245"/>
      <c r="AU293" s="1055"/>
      <c r="AV293" s="245"/>
      <c r="AW293" s="245"/>
      <c r="AX293" s="245"/>
      <c r="AY293" s="245"/>
      <c r="AZ293" s="1055"/>
      <c r="BA293" s="245"/>
      <c r="BB293" s="245"/>
      <c r="BC293" s="245"/>
      <c r="BD293" s="245"/>
      <c r="BE293" s="1055"/>
      <c r="BF293" s="245"/>
      <c r="BG293" s="245"/>
      <c r="BH293" s="550"/>
      <c r="BI293" s="519"/>
      <c r="BJ293" s="1058"/>
      <c r="BK293" s="519"/>
      <c r="BL293" s="519"/>
      <c r="BM293" s="519"/>
      <c r="BN293" s="519"/>
      <c r="BO293" s="1058"/>
      <c r="BP293" s="1055"/>
      <c r="BQ293" s="1055"/>
      <c r="BR293" s="1058"/>
      <c r="BS293" s="377"/>
    </row>
    <row r="294" spans="1:71" s="626" customFormat="1" ht="15">
      <c r="A294" s="568" t="s">
        <v>63</v>
      </c>
      <c r="B294" s="442"/>
      <c r="C294" s="971">
        <f t="shared" si="681" ref="C294:AH294">C177</f>
        <v>72</v>
      </c>
      <c r="D294" s="971">
        <f t="shared" si="681"/>
        <v>149</v>
      </c>
      <c r="E294" s="971">
        <f t="shared" si="681"/>
        <v>196</v>
      </c>
      <c r="F294" s="971">
        <f t="shared" si="681"/>
        <v>261</v>
      </c>
      <c r="G294" s="971">
        <f t="shared" si="681"/>
        <v>293</v>
      </c>
      <c r="H294" s="176">
        <f t="shared" si="681"/>
        <v>80</v>
      </c>
      <c r="I294" s="176">
        <f t="shared" si="681"/>
        <v>81</v>
      </c>
      <c r="J294" s="176">
        <f t="shared" si="681"/>
        <v>77</v>
      </c>
      <c r="K294" s="176">
        <f t="shared" si="681"/>
        <v>79</v>
      </c>
      <c r="L294" s="971">
        <f t="shared" si="681"/>
        <v>317</v>
      </c>
      <c r="M294" s="176">
        <f t="shared" si="681"/>
        <v>83</v>
      </c>
      <c r="N294" s="176">
        <f t="shared" si="681"/>
        <v>74</v>
      </c>
      <c r="O294" s="176">
        <f t="shared" si="681"/>
        <v>67</v>
      </c>
      <c r="P294" s="176">
        <f t="shared" si="681"/>
        <v>65</v>
      </c>
      <c r="Q294" s="971">
        <f t="shared" si="681"/>
        <v>289</v>
      </c>
      <c r="R294" s="176">
        <f t="shared" si="681"/>
        <v>65</v>
      </c>
      <c r="S294" s="176">
        <f t="shared" si="681"/>
        <v>66</v>
      </c>
      <c r="T294" s="176">
        <f t="shared" si="681"/>
        <v>65</v>
      </c>
      <c r="U294" s="176">
        <f t="shared" si="681"/>
        <v>72</v>
      </c>
      <c r="V294" s="971">
        <f t="shared" si="681"/>
        <v>268</v>
      </c>
      <c r="W294" s="176">
        <f t="shared" si="681"/>
        <v>62</v>
      </c>
      <c r="X294" s="176">
        <f t="shared" si="681"/>
        <v>61</v>
      </c>
      <c r="Y294" s="176">
        <f t="shared" si="681"/>
        <v>59</v>
      </c>
      <c r="Z294" s="176">
        <f t="shared" si="681"/>
        <v>58</v>
      </c>
      <c r="AA294" s="971">
        <f t="shared" si="681"/>
        <v>240</v>
      </c>
      <c r="AB294" s="176">
        <f t="shared" si="681"/>
        <v>56</v>
      </c>
      <c r="AC294" s="176">
        <f t="shared" si="681"/>
        <v>54</v>
      </c>
      <c r="AD294" s="176">
        <f t="shared" si="681"/>
        <v>53</v>
      </c>
      <c r="AE294" s="176">
        <f t="shared" si="681"/>
        <v>59</v>
      </c>
      <c r="AF294" s="971">
        <f t="shared" si="681"/>
        <v>222</v>
      </c>
      <c r="AG294" s="176">
        <f t="shared" si="681"/>
        <v>58</v>
      </c>
      <c r="AH294" s="176">
        <f t="shared" si="681"/>
        <v>57</v>
      </c>
      <c r="AI294" s="176">
        <f t="shared" si="682" ref="AI294:BC294">AI177</f>
        <v>57</v>
      </c>
      <c r="AJ294" s="176">
        <f t="shared" si="682"/>
        <v>56</v>
      </c>
      <c r="AK294" s="971">
        <f t="shared" si="682"/>
        <v>228</v>
      </c>
      <c r="AL294" s="176">
        <f t="shared" si="682"/>
        <v>55</v>
      </c>
      <c r="AM294" s="176">
        <f t="shared" si="682"/>
        <v>63</v>
      </c>
      <c r="AN294" s="176">
        <f t="shared" si="682"/>
        <v>63</v>
      </c>
      <c r="AO294" s="176">
        <f t="shared" si="682"/>
        <v>61</v>
      </c>
      <c r="AP294" s="971">
        <f t="shared" si="682"/>
        <v>242</v>
      </c>
      <c r="AQ294" s="176">
        <f t="shared" si="682"/>
        <v>62</v>
      </c>
      <c r="AR294" s="229">
        <f t="shared" si="682"/>
        <v>62</v>
      </c>
      <c r="AS294" s="176">
        <f t="shared" si="682"/>
        <v>57</v>
      </c>
      <c r="AT294" s="176">
        <f t="shared" si="682"/>
        <v>57</v>
      </c>
      <c r="AU294" s="971">
        <f t="shared" si="682"/>
        <v>238</v>
      </c>
      <c r="AV294" s="176">
        <f t="shared" si="682"/>
        <v>56</v>
      </c>
      <c r="AW294" s="229">
        <f t="shared" si="682"/>
        <v>55</v>
      </c>
      <c r="AX294" s="176">
        <f t="shared" si="682"/>
        <v>59</v>
      </c>
      <c r="AY294" s="176">
        <f t="shared" si="682"/>
        <v>56</v>
      </c>
      <c r="AZ294" s="971">
        <f t="shared" si="682"/>
        <v>226</v>
      </c>
      <c r="BA294" s="176">
        <f t="shared" si="682"/>
        <v>48</v>
      </c>
      <c r="BB294" s="229">
        <f t="shared" si="682"/>
        <v>51</v>
      </c>
      <c r="BC294" s="176">
        <f t="shared" si="682"/>
        <v>49</v>
      </c>
      <c r="BD294" s="229">
        <f t="shared" si="683" ref="BD294:BE294">BD177</f>
        <v>47</v>
      </c>
      <c r="BE294" s="970">
        <f t="shared" si="683"/>
        <v>195</v>
      </c>
      <c r="BF294" s="176">
        <f>BF177</f>
        <v>47</v>
      </c>
      <c r="BG294" s="229">
        <f>BG177</f>
        <v>50</v>
      </c>
      <c r="BH294" s="551">
        <f>BH177</f>
        <v>50</v>
      </c>
      <c r="BI294" s="569">
        <f>MAX(0,BI295*AVERAGE(BH284,BI284)*BI3/BJ3)</f>
        <v>64.172765027322399</v>
      </c>
      <c r="BJ294" s="1056">
        <f>SUM(BF294,BG294,BH294,BI294)</f>
        <v>211.17276502732238</v>
      </c>
      <c r="BK294" s="569">
        <f>MAX(0,BK295*AVERAGE(BJ284,BK284)*BK3/BO3)</f>
        <v>62.949698630136986</v>
      </c>
      <c r="BL294" s="569">
        <f>MAX(0,BL295*AVERAGE(BK284,BL284)*BL3/BO3)</f>
        <v>63.649139726027393</v>
      </c>
      <c r="BM294" s="569">
        <f>MAX(0,BM295*AVERAGE(BL284,BM284)*BM3/BO3)</f>
        <v>64.348580821917807</v>
      </c>
      <c r="BN294" s="569">
        <f>MAX(0,BN295*AVERAGE(BM284,BN284)*BN3/BO3)</f>
        <v>64.348580821917807</v>
      </c>
      <c r="BO294" s="1056">
        <f>SUM(BK294,BL294,BM294,BN294)</f>
        <v>255.29599999999999</v>
      </c>
      <c r="BP294" s="971">
        <f>MAX(0,BP295*AVERAGE(BO284,BP284))</f>
        <v>255.29599999999999</v>
      </c>
      <c r="BQ294" s="971">
        <f>MAX(0,BQ295*AVERAGE(BP284,BQ284))</f>
        <v>255.29599999999999</v>
      </c>
      <c r="BR294" s="1056">
        <f>MAX(0,BR295*AVERAGE(BQ284,BR284))</f>
        <v>255.29599999999999</v>
      </c>
      <c r="BS294" s="374"/>
    </row>
    <row r="295" spans="1:71" s="629" customFormat="1" ht="15">
      <c r="A295" s="444" t="s">
        <v>321</v>
      </c>
      <c r="B295" s="445"/>
      <c r="C295" s="996"/>
      <c r="D295" s="996">
        <f>IFERROR(IF(D294/AVERAGE(C284,D284)&lt;0,"n/a",D294/AVERAGE(C284,D284)),"n/a")</f>
        <v>0.052864999113003373</v>
      </c>
      <c r="E295" s="996">
        <f>IFERROR(IF(E294/AVERAGE(D284,E284)&lt;0,"n/a",E294/AVERAGE(D284,E284)),"n/a")</f>
        <v>0.061995888027834886</v>
      </c>
      <c r="F295" s="996">
        <f>IFERROR(IF(F294/AVERAGE(E284,F284)&lt;0,"n/a",F294/AVERAGE(E284,F284)),"n/a")</f>
        <v>0.068351446903234248</v>
      </c>
      <c r="G295" s="996">
        <f>IFERROR(IF(G294/AVERAGE(F284,G284)&lt;0,"n/a",G294/AVERAGE(F284,G284)),"n/a")</f>
        <v>0.063358200886582339</v>
      </c>
      <c r="H295" s="371">
        <f>IFERROR(IF(H294/AVERAGE(G284,H284)&lt;0,"n/a",H294/AVERAGE(G284,H284)*L3/H3),"n/a")</f>
        <v>0.066145656359723637</v>
      </c>
      <c r="I295" s="371">
        <f>IFERROR(IF(I294/AVERAGE(H284,I284)&lt;0,"n/a",I294/AVERAGE(H284,I284)*L3/I3),"n/a")</f>
        <v>0.066047999571073365</v>
      </c>
      <c r="J295" s="371">
        <f>IFERROR(IF(J294/AVERAGE(I284,J284)&lt;0,"n/a",J294/AVERAGE(I284,J284)*L3/J3),"n/a")</f>
        <v>0.064428794776923454</v>
      </c>
      <c r="K295" s="371">
        <f>IFERROR(IF(K294/AVERAGE(J284,K284)&lt;0,"n/a",K294/AVERAGE(J284,K284)*L3/K3),"n/a")</f>
        <v>0.063704047366560615</v>
      </c>
      <c r="L295" s="996">
        <f>IFERROR(IF(L294/AVERAGE(H284,I284,J284,K284)&lt;0,"n/a",L294/AVERAGE(H284,I284,J284,K284)),"n/a")</f>
        <v>0.064437442829555852</v>
      </c>
      <c r="M295" s="371">
        <f>IFERROR(IF(M294/AVERAGE(L284,M284)&lt;0,"n/a",M294/AVERAGE(L284,M284)*Q3/M3),"n/a")</f>
        <v>0.058217072139590292</v>
      </c>
      <c r="N295" s="371">
        <f>IFERROR(IF(N294/AVERAGE(M284,N284)&lt;0,"n/a",N294/AVERAGE(M284,N284)*Q3/N3),"n/a")</f>
        <v>0.050706959394069669</v>
      </c>
      <c r="O295" s="371">
        <f>IFERROR(IF(O294/AVERAGE(N284,O284)&lt;0,"n/a",O294/AVERAGE(N284,O284)*Q3/O3),"n/a")</f>
        <v>0.05095173804702019</v>
      </c>
      <c r="P295" s="371">
        <f>IFERROR(IF(P294/AVERAGE(O284,P284)&lt;0,"n/a",P294/AVERAGE(O284,P284)*Q3/P3),"n/a")</f>
        <v>0.051679445848218174</v>
      </c>
      <c r="Q295" s="996">
        <f>IFERROR(IF(Q294/AVERAGE(M284,N284,O284,P284)&lt;0,"n/a",Q294/AVERAGE(M284,N284,O284,P284)),"n/a")</f>
        <v>0.053303822566514503</v>
      </c>
      <c r="R295" s="371">
        <f>IFERROR(IF(R294/AVERAGE(Q284,R284)&lt;0,"n/a",R294/AVERAGE(Q284,R284)*V3/R3),"n/a")</f>
        <v>0.052522063571787327</v>
      </c>
      <c r="S295" s="371">
        <f>IFERROR(IF(S294/AVERAGE(R284,S284)&lt;0,"n/a",S294/AVERAGE(R284,S284)*V3/S3),"n/a")</f>
        <v>0.053127298999409475</v>
      </c>
      <c r="T295" s="371">
        <f>IFERROR(IF(T294/AVERAGE(S284,T284)&lt;0,"n/a",T294/AVERAGE(S284,T284)*V3/T3),"n/a")</f>
        <v>0.048002033881889568</v>
      </c>
      <c r="U295" s="371">
        <f>IFERROR(IF(U294/AVERAGE(T284,U284)&lt;0,"n/a",U294/AVERAGE(T284,U284)*V3/U3),"n/a")</f>
        <v>0.051493893502686856</v>
      </c>
      <c r="V295" s="996">
        <f>IFERROR(IF(V294/AVERAGE(R284,S284,T284,U284)&lt;0,"n/a",V294/AVERAGE(R284,S284,T284,U284)),"n/a")</f>
        <v>0.050762382801401648</v>
      </c>
      <c r="W295" s="371">
        <f>IFERROR(IF(W294/AVERAGE(V284,W284)&lt;0,"n/a",W294/AVERAGE(V284,W284)*AA3/W3),"n/a")</f>
        <v>0.047397633260027223</v>
      </c>
      <c r="X295" s="371">
        <f>IFERROR(IF(X294/AVERAGE(W284,X284)&lt;0,"n/a",X294/AVERAGE(W284,X284)*AA3/X3),"n/a")</f>
        <v>0.046594997080618865</v>
      </c>
      <c r="Y295" s="371">
        <f>IFERROR(IF(Y294/AVERAGE(X284,Y284)&lt;0,"n/a",Y294/AVERAGE(X284,Y284)*AA3/Y3),"n/a")</f>
        <v>0.044585921325051757</v>
      </c>
      <c r="Z295" s="371">
        <f>IFERROR(IF(Z294/AVERAGE(Y284,Z284)&lt;0,"n/a",Z294/AVERAGE(Y284,Z284)*AA3/Z3),"n/a")</f>
        <v>0.043676320708394022</v>
      </c>
      <c r="AA295" s="996">
        <f>IFERROR(IF(AA294/AVERAGE(W284,X284,Y284,Z284)&lt;0,"n/a",AA294/AVERAGE(W284,X284,Y284,Z284)),"n/a")</f>
        <v>0.045629545130471981</v>
      </c>
      <c r="AB295" s="371">
        <f>IFERROR(IF(AB294/AVERAGE(AA284,AB284)&lt;0,"n/a",AB294/AVERAGE(AA284,AB284)*AF3/AB3),"n/a")</f>
        <v>0.042605967753702484</v>
      </c>
      <c r="AC295" s="371">
        <f>IFERROR(IF(AC294/AVERAGE(AB284,AC284)&lt;0,"n/a",AC294/AVERAGE(AB284,AC284)*AF3/AC3),"n/a")</f>
        <v>0.040533995806757109</v>
      </c>
      <c r="AD295" s="371">
        <f>IFERROR(IF(AD294/AVERAGE(AC284,AD284)&lt;0,"n/a",AD294/AVERAGE(AC284,AD284)*AF3/AD3),"n/a")</f>
        <v>0.039696382694059805</v>
      </c>
      <c r="AE295" s="371">
        <f>IFERROR(IF(AE294/AVERAGE(AD284,AE284)&lt;0,"n/a",AE294/AVERAGE(AD284,AE284)*AF3/AE3),"n/a")</f>
        <v>0.042339890920958981</v>
      </c>
      <c r="AF295" s="996">
        <f>IFERROR(IF(AF294/AVERAGE(AB284,AC284,AD284,AE284)&lt;0,"n/a",AF294/AVERAGE(AB284,AC284,AD284,AE284)),"n/a")</f>
        <v>0.040838852097130243</v>
      </c>
      <c r="AG295" s="371">
        <f>IFERROR(IF(AG294/AVERAGE(AF284,AG284)&lt;0,"n/a",AG294/AVERAGE(AF284,AG284)*AK3/AG3),"n/a")</f>
        <v>0.040284675838709059</v>
      </c>
      <c r="AH295" s="371">
        <f>IFERROR(IF(AH294/AVERAGE(AG284,AH284)&lt;0,"n/a",AH294/AVERAGE(AG284,AH284)*AK3/AH3),"n/a")</f>
        <v>0.037692914619796167</v>
      </c>
      <c r="AI295" s="371">
        <f>IFERROR(IF(AI294/AVERAGE(AH284,AI284)&lt;0,"n/a",AI294/AVERAGE(AH284,AI284)*AK3/AI3),"n/a")</f>
        <v>0.036287115588547192</v>
      </c>
      <c r="AJ295" s="371">
        <f>IFERROR(IF(AJ294/AVERAGE(AI284,AJ284)&lt;0,"n/a",AJ294/AVERAGE(AI284,AJ284)*AK3/AJ3),"n/a")</f>
        <v>0.034709250592638387</v>
      </c>
      <c r="AK295" s="996">
        <f>IFERROR(IF(AK294/AVERAGE(AG284,AH284,AI284,AJ284)&lt;0,"n/a",AK294/AVERAGE(AG284,AH284,AI284,AJ284)),"n/a")</f>
        <v>0.036578029118036336</v>
      </c>
      <c r="AL295" s="371">
        <f>IFERROR(IF(AL294/AVERAGE(AK284,AL284)&lt;0,"n/a",AL294/AVERAGE(AK284,AL284)*AP3/AL3),"n/a")</f>
        <v>0.03319708729778513</v>
      </c>
      <c r="AM295" s="371">
        <f>IFERROR(IF(AM294/AVERAGE(AL284,AM284)&lt;0,"n/a",AM294/AVERAGE(AL284,AM284)*AP3/AM3),"n/a")</f>
        <v>0.034879842437141637</v>
      </c>
      <c r="AN295" s="371">
        <f>IFERROR(IF(AN294/AVERAGE(AM284,AN284)&lt;0,"n/a",AN294/AVERAGE(AM284,AN284)*AP3/AN3),"n/a")</f>
        <v>0.032140348138318633</v>
      </c>
      <c r="AO295" s="371">
        <f>IFERROR(IF(AO294/AVERAGE(AN284,AO284)&lt;0,"n/a",AO294/AVERAGE(AN284,AO284)*AP3/AO3),"n/a")</f>
        <v>0.03086668952473649</v>
      </c>
      <c r="AP295" s="996">
        <f>IFERROR(IF(AP294/AVERAGE(AL284,AM284,AN284,AO284)&lt;0,"n/a",AP294/AVERAGE(AL284,AM284,AN284,AO284)),"n/a")</f>
        <v>0.03199682676098238</v>
      </c>
      <c r="AQ295" s="371">
        <f>IFERROR(IF(AQ294/AVERAGE(AP284,AQ284)&lt;0,"n/a",AQ294/AVERAGE(AP284,AQ284)*AU3/AQ3),"n/a")</f>
        <v>0.031456113647894468</v>
      </c>
      <c r="AR295" s="158">
        <f>IFERROR(IF(AR294/AVERAGE(AQ284,AR284)&lt;0,"n/a",AR294/AVERAGE(AQ284,AR284)*AU3/AR3),"n/a")</f>
        <v>0.03068435050667144</v>
      </c>
      <c r="AS295" s="371">
        <f>IFERROR(IF(AS294/AVERAGE(AR284,AS284)&lt;0,"n/a",AS294/AVERAGE(AR284,AS284)*AU3/AS3),"n/a")</f>
        <v>0.027941101420624708</v>
      </c>
      <c r="AT295" s="371">
        <f>IFERROR(IF(AT294/AVERAGE(AS284,AT284)&lt;0,"n/a",AT294/AVERAGE(AS284,AT284)*AU3/AT3),"n/a")</f>
        <v>0.02822884837695994</v>
      </c>
      <c r="AU295" s="996">
        <f>IFERROR(IF(AU294/AVERAGE(AQ284,AR284,AS284,AT284)&lt;0,"n/a",AU294/AVERAGE(AQ284,AR284,AS284,AT284)),"n/a")</f>
        <v>0.029536781359560671</v>
      </c>
      <c r="AV295" s="371">
        <f>IFERROR(IF(AV294/AVERAGE(AU284,AV284)&lt;0,"n/a",AV294/AVERAGE(AU284,AV284)*AZ3/AV3),"n/a")</f>
        <v>0.028887192967579637</v>
      </c>
      <c r="AW295" s="158">
        <f>IFERROR(IF(AW294/AVERAGE(AV284,AW284)&lt;0,"n/a",AW294/AVERAGE(AV284,AW284)*AZ3/AW3),"n/a")</f>
        <v>0.029057480980557902</v>
      </c>
      <c r="AX295" s="371">
        <f>IFERROR(IF(AX294/AVERAGE(AW284,AX284)&lt;0,"n/a",AX294/AVERAGE(AW284,AX284)*AZ3/AX3),"n/a")</f>
        <v>0.031348076463977734</v>
      </c>
      <c r="AY295" s="371">
        <f>IFERROR(IF(AY294/AVERAGE(AX284,AY284)&lt;0,"n/a",AY294/AVERAGE(AX284,AY284)*AZ3/AY3),"n/a")</f>
        <v>0.029702394791908858</v>
      </c>
      <c r="AZ295" s="996">
        <f>IFERROR(IF(AZ294/AVERAGE(AV284,AW284,AX284,AY284)&lt;0,"n/a",AZ294/AVERAGE(AV284,AW284,AX284,AY284)),"n/a")</f>
        <v>0.029989384288747346</v>
      </c>
      <c r="BA295" s="371">
        <f>IFERROR(IF(BA294/AVERAGE(AZ284,BA284)&lt;0,"n/a",BA294/AVERAGE(AZ284,BA284)*BE3/BA3),"n/a")</f>
        <v>0.026196563943838871</v>
      </c>
      <c r="BB295" s="158">
        <f>IFERROR(IF(BB294/AVERAGE(BA284,BB284)&lt;0,"n/a",BB294/AVERAGE(BA284,BB284)*BE3/BB3),"n/a")</f>
        <v>0.028201618468386234</v>
      </c>
      <c r="BC295" s="371">
        <f>IFERROR(IF(BC294/AVERAGE(BB284,BC284)&lt;0,"n/a",BC294/AVERAGE(BB284,BC284)*BE3/BC3),"n/a")</f>
        <v>0.027676847083292065</v>
      </c>
      <c r="BD295" s="158">
        <f>IFERROR(IF(BD294/AVERAGE(BC284,BD284)&lt;0,"n/a",BD294/AVERAGE(BC284,BD284)*BE3/BD3),"n/a")</f>
        <v>0.026033841717884511</v>
      </c>
      <c r="BE295" s="995">
        <f>IFERROR(IF(BE294/AVERAGE(BA284,BB284,BC284,BD284)&lt;0,"n/a",BE294/AVERAGE(BA284,BB284,BC284,BD284)),"n/a")</f>
        <v>0.027053274139844617</v>
      </c>
      <c r="BF295" s="371">
        <f>IFERROR(IF(BF294/AVERAGE(BE284,BF284)&lt;0,"n/a",BF294/AVERAGE(BE284,BF284)*BJ3/BF3),"n/a")</f>
        <v>0.02474901375137039</v>
      </c>
      <c r="BG295" s="158">
        <f>IFERROR(IF(BG294/AVERAGE(BF284,BG284)&lt;0,"n/a",BG294/AVERAGE(BF284,BG284)*BJ3/BG3),"n/a")</f>
        <v>0.026215474005853358</v>
      </c>
      <c r="BH295" s="748">
        <f>IFERROR(IF(BH294/AVERAGE(BG284,BH284)&lt;0,"n/a",BH294/AVERAGE(BG284,BH284)*BJ3/BH3),"n/a")</f>
        <v>0.025819450088040093</v>
      </c>
      <c r="BI295" s="943">
        <v>0.032000000000000001</v>
      </c>
      <c r="BJ295" s="1059">
        <f>IFERROR(IF(BJ294/AVERAGE(BF284,BG284,BH284,BI284)&lt;0,"n/a",BJ294/AVERAGE(BF284,BG284,BH284,BI284)),"n/a")</f>
        <v>0.026988659342746805</v>
      </c>
      <c r="BK295" s="943">
        <v>0.032000000000000001</v>
      </c>
      <c r="BL295" s="943">
        <v>0.032000000000000001</v>
      </c>
      <c r="BM295" s="943">
        <v>0.032000000000000001</v>
      </c>
      <c r="BN295" s="943">
        <v>0.032000000000000001</v>
      </c>
      <c r="BO295" s="1059">
        <f>IFERROR(IF(BO294/AVERAGE(BK284,BL284,BM284,BN284)&lt;0,"n/a",BO294/AVERAGE(BK284,BL284,BM284,BN284)),"n/a")</f>
        <v>0.032000000000000001</v>
      </c>
      <c r="BP295" s="1025">
        <v>0.032000000000000001</v>
      </c>
      <c r="BQ295" s="1025">
        <v>0.032000000000000001</v>
      </c>
      <c r="BR295" s="1064">
        <v>0.032000000000000001</v>
      </c>
      <c r="BS295" s="378"/>
    </row>
    <row r="296" spans="1:71" s="628" customFormat="1" ht="15">
      <c r="A296" s="518"/>
      <c r="B296" s="518"/>
      <c r="C296" s="1055"/>
      <c r="D296" s="1055"/>
      <c r="E296" s="1055"/>
      <c r="F296" s="1055"/>
      <c r="G296" s="1055"/>
      <c r="H296" s="245"/>
      <c r="I296" s="245"/>
      <c r="J296" s="245"/>
      <c r="K296" s="245"/>
      <c r="L296" s="1055"/>
      <c r="M296" s="245"/>
      <c r="N296" s="245"/>
      <c r="O296" s="245"/>
      <c r="P296" s="245"/>
      <c r="Q296" s="1055"/>
      <c r="R296" s="245"/>
      <c r="S296" s="245"/>
      <c r="T296" s="245"/>
      <c r="U296" s="245"/>
      <c r="V296" s="1055"/>
      <c r="W296" s="245"/>
      <c r="X296" s="245"/>
      <c r="Y296" s="245"/>
      <c r="Z296" s="245"/>
      <c r="AA296" s="1055"/>
      <c r="AB296" s="245"/>
      <c r="AC296" s="245"/>
      <c r="AD296" s="245"/>
      <c r="AE296" s="245"/>
      <c r="AF296" s="1055"/>
      <c r="AG296" s="245"/>
      <c r="AH296" s="245"/>
      <c r="AI296" s="245"/>
      <c r="AJ296" s="245"/>
      <c r="AK296" s="1055"/>
      <c r="AL296" s="245"/>
      <c r="AM296" s="245"/>
      <c r="AN296" s="245"/>
      <c r="AO296" s="245"/>
      <c r="AP296" s="1055"/>
      <c r="AQ296" s="245"/>
      <c r="AR296" s="245"/>
      <c r="AS296" s="245"/>
      <c r="AT296" s="245"/>
      <c r="AU296" s="1055"/>
      <c r="AV296" s="245"/>
      <c r="AW296" s="245"/>
      <c r="AX296" s="245"/>
      <c r="AY296" s="245"/>
      <c r="AZ296" s="1055"/>
      <c r="BA296" s="245"/>
      <c r="BB296" s="245"/>
      <c r="BC296" s="245"/>
      <c r="BD296" s="245"/>
      <c r="BE296" s="1055"/>
      <c r="BF296" s="245"/>
      <c r="BG296" s="245"/>
      <c r="BH296" s="550"/>
      <c r="BI296" s="519"/>
      <c r="BJ296" s="1058"/>
      <c r="BK296" s="519"/>
      <c r="BL296" s="519"/>
      <c r="BM296" s="519"/>
      <c r="BN296" s="519"/>
      <c r="BO296" s="1058"/>
      <c r="BP296" s="1055"/>
      <c r="BQ296" s="1055"/>
      <c r="BR296" s="1058"/>
      <c r="BS296" s="377"/>
    </row>
    <row r="297" spans="1:71" s="43" customFormat="1" ht="15">
      <c r="A297" s="812" t="s">
        <v>98</v>
      </c>
      <c r="B297" s="812"/>
      <c r="C297" s="828"/>
      <c r="D297" s="828"/>
      <c r="E297" s="828"/>
      <c r="F297" s="828"/>
      <c r="G297" s="828"/>
      <c r="H297" s="828"/>
      <c r="I297" s="828"/>
      <c r="J297" s="828"/>
      <c r="K297" s="828"/>
      <c r="L297" s="828"/>
      <c r="M297" s="828"/>
      <c r="N297" s="828"/>
      <c r="O297" s="828"/>
      <c r="P297" s="828"/>
      <c r="Q297" s="828"/>
      <c r="R297" s="828"/>
      <c r="S297" s="828"/>
      <c r="T297" s="828"/>
      <c r="U297" s="828"/>
      <c r="V297" s="828"/>
      <c r="W297" s="828"/>
      <c r="X297" s="828"/>
      <c r="Y297" s="828"/>
      <c r="Z297" s="828"/>
      <c r="AA297" s="828"/>
      <c r="AB297" s="828"/>
      <c r="AC297" s="828"/>
      <c r="AD297" s="828"/>
      <c r="AE297" s="828"/>
      <c r="AF297" s="828"/>
      <c r="AG297" s="828"/>
      <c r="AH297" s="828"/>
      <c r="AI297" s="828"/>
      <c r="AJ297" s="828"/>
      <c r="AK297" s="828"/>
      <c r="AL297" s="828"/>
      <c r="AM297" s="828"/>
      <c r="AN297" s="828"/>
      <c r="AO297" s="828"/>
      <c r="AP297" s="828"/>
      <c r="AQ297" s="828"/>
      <c r="AR297" s="828"/>
      <c r="AS297" s="828"/>
      <c r="AT297" s="828"/>
      <c r="AU297" s="828"/>
      <c r="AV297" s="828"/>
      <c r="AW297" s="828"/>
      <c r="AX297" s="828"/>
      <c r="AY297" s="828"/>
      <c r="AZ297" s="828"/>
      <c r="BA297" s="828"/>
      <c r="BB297" s="828"/>
      <c r="BC297" s="828"/>
      <c r="BD297" s="828"/>
      <c r="BE297" s="828"/>
      <c r="BF297" s="828"/>
      <c r="BG297" s="828"/>
      <c r="BH297" s="829"/>
      <c r="BI297" s="828"/>
      <c r="BJ297" s="828"/>
      <c r="BK297" s="828"/>
      <c r="BL297" s="828"/>
      <c r="BM297" s="828"/>
      <c r="BN297" s="828"/>
      <c r="BO297" s="828"/>
      <c r="BP297" s="828"/>
      <c r="BQ297" s="828"/>
      <c r="BR297" s="828"/>
      <c r="BS297" s="475"/>
    </row>
    <row r="298" spans="1:71" s="50" customFormat="1" ht="15">
      <c r="A298" s="606" t="str">
        <f>"Stock Price (Reporting Cur.) - "&amp;MO.ValuationToggle&amp;", "&amp;MO.ReportCurrency</f>
        <v>Stock Price (Reporting Cur.) - EoP, USD</v>
      </c>
      <c r="B298" s="945" t="s">
        <v>469</v>
      </c>
      <c r="C298" s="1065">
        <f t="shared" si="684" ref="C298:AH298">IF(MO.ValuationToggle="EoP",INDEX(MO_VA_StockPrice_TradingCurrency,1,COLUMN())/INDEX(MO_VA_FX_EoP,1,COLUMN()),INDEX(MO_VA_StockPrice_TradingCurrency,1,COLUMN())/INDEX(MO_VA_FX_Average,1,COLUMN()))</f>
        <v>23.44</v>
      </c>
      <c r="D298" s="1065">
        <f t="shared" si="684"/>
        <v>28.045</v>
      </c>
      <c r="E298" s="1065">
        <f t="shared" si="684"/>
        <v>21.63</v>
      </c>
      <c r="F298" s="1065">
        <f t="shared" si="684"/>
        <v>26.125</v>
      </c>
      <c r="G298" s="1065">
        <f t="shared" si="684"/>
        <v>33.345</v>
      </c>
      <c r="H298" s="458">
        <f t="shared" si="684"/>
        <v>31.33</v>
      </c>
      <c r="I298" s="458">
        <f t="shared" si="684"/>
        <v>31.36</v>
      </c>
      <c r="J298" s="458">
        <f t="shared" si="684"/>
        <v>29.235</v>
      </c>
      <c r="K298" s="458">
        <f t="shared" si="684"/>
        <v>30.99</v>
      </c>
      <c r="L298" s="1065">
        <f t="shared" si="684"/>
        <v>30.99</v>
      </c>
      <c r="M298" s="458">
        <f t="shared" si="684"/>
        <v>32.10</v>
      </c>
      <c r="N298" s="458">
        <f t="shared" si="684"/>
        <v>30.72</v>
      </c>
      <c r="O298" s="458">
        <f t="shared" si="684"/>
        <v>28.86</v>
      </c>
      <c r="P298" s="458">
        <f t="shared" si="684"/>
        <v>30.26</v>
      </c>
      <c r="Q298" s="1065">
        <f t="shared" si="684"/>
        <v>30.26</v>
      </c>
      <c r="R298" s="458">
        <f t="shared" si="684"/>
        <v>31.865</v>
      </c>
      <c r="S298" s="458">
        <f t="shared" si="684"/>
        <v>35.04</v>
      </c>
      <c r="T298" s="458">
        <f t="shared" si="684"/>
        <v>35.78</v>
      </c>
      <c r="U298" s="458">
        <f t="shared" si="684"/>
        <v>34.799999999999997</v>
      </c>
      <c r="V298" s="1065">
        <f t="shared" si="684"/>
        <v>34.799999999999997</v>
      </c>
      <c r="W298" s="458">
        <f t="shared" si="684"/>
        <v>36.159999999999997</v>
      </c>
      <c r="X298" s="458">
        <f t="shared" si="684"/>
        <v>38.799999999999997</v>
      </c>
      <c r="Y298" s="458">
        <f t="shared" si="684"/>
        <v>40.695</v>
      </c>
      <c r="Z298" s="458">
        <f t="shared" si="684"/>
        <v>43.89</v>
      </c>
      <c r="AA298" s="1065">
        <f t="shared" si="684"/>
        <v>43.89</v>
      </c>
      <c r="AB298" s="458">
        <f t="shared" si="684"/>
        <v>43.76</v>
      </c>
      <c r="AC298" s="458">
        <f t="shared" si="684"/>
        <v>43.02</v>
      </c>
      <c r="AD298" s="458">
        <f t="shared" si="684"/>
        <v>47.07</v>
      </c>
      <c r="AE298" s="458">
        <f t="shared" si="684"/>
        <v>44.95</v>
      </c>
      <c r="AF298" s="1065">
        <f t="shared" si="684"/>
        <v>44.95</v>
      </c>
      <c r="AG298" s="458">
        <f t="shared" si="684"/>
        <v>50</v>
      </c>
      <c r="AH298" s="458">
        <f t="shared" si="684"/>
        <v>54.81</v>
      </c>
      <c r="AI298" s="458">
        <f t="shared" si="685" ref="AI298:BJ298">IF(MO.ValuationToggle="EoP",INDEX(MO_VA_StockPrice_TradingCurrency,1,COLUMN())/INDEX(MO_VA_FX_EoP,1,COLUMN()),INDEX(MO_VA_StockPrice_TradingCurrency,1,COLUMN())/INDEX(MO_VA_FX_Average,1,COLUMN()))</f>
        <v>51.89</v>
      </c>
      <c r="AJ298" s="458">
        <f t="shared" si="685"/>
        <v>52.74</v>
      </c>
      <c r="AK298" s="1065">
        <f t="shared" si="685"/>
        <v>52.74</v>
      </c>
      <c r="AL298" s="458">
        <f t="shared" si="685"/>
        <v>36.26</v>
      </c>
      <c r="AM298" s="458">
        <f t="shared" si="685"/>
        <v>35.43</v>
      </c>
      <c r="AN298" s="458">
        <f t="shared" si="685"/>
        <v>36.020000000000003</v>
      </c>
      <c r="AO298" s="458">
        <f t="shared" si="685"/>
        <v>44.01</v>
      </c>
      <c r="AP298" s="1052">
        <f t="shared" si="685"/>
        <v>44.01</v>
      </c>
      <c r="AQ298" s="458">
        <f t="shared" si="685"/>
        <v>51.83</v>
      </c>
      <c r="AR298" s="458">
        <f t="shared" si="685"/>
        <v>53.55</v>
      </c>
      <c r="AS298" s="458">
        <f t="shared" si="685"/>
        <v>52.74</v>
      </c>
      <c r="AT298" s="458">
        <f t="shared" si="685"/>
        <v>58.56</v>
      </c>
      <c r="AU298" s="1052">
        <f t="shared" si="685"/>
        <v>58.56</v>
      </c>
      <c r="AV298" s="458">
        <f t="shared" si="685"/>
        <v>65.50</v>
      </c>
      <c r="AW298" s="458">
        <f t="shared" si="685"/>
        <v>55.46</v>
      </c>
      <c r="AX298" s="458">
        <f t="shared" si="685"/>
        <v>56.58</v>
      </c>
      <c r="AY298" s="458">
        <f t="shared" si="685"/>
        <v>71.94</v>
      </c>
      <c r="AZ298" s="1052">
        <f t="shared" si="685"/>
        <v>71.94</v>
      </c>
      <c r="BA298" s="616">
        <f t="shared" si="685"/>
        <v>64.290000000000006</v>
      </c>
      <c r="BB298" s="616">
        <f t="shared" si="685"/>
        <v>69.120000000000005</v>
      </c>
      <c r="BC298" s="458">
        <f t="shared" si="685"/>
        <v>76.75</v>
      </c>
      <c r="BD298" s="616">
        <f t="shared" si="685"/>
        <v>82.50</v>
      </c>
      <c r="BE298" s="1052">
        <f t="shared" si="685"/>
        <v>82.50</v>
      </c>
      <c r="BF298" s="616">
        <f>IF(MO.ValuationToggle="EoP",INDEX(MO_VA_StockPrice_TradingCurrency,1,COLUMN())/INDEX(MO_VA_FX_EoP,1,COLUMN()),INDEX(MO_VA_StockPrice_TradingCurrency,1,COLUMN())/INDEX(MO_VA_FX_Average,1,COLUMN()))</f>
        <v>85.86</v>
      </c>
      <c r="BG298" s="616">
        <f>IF(MO.ValuationToggle="EoP",INDEX(MO_VA_StockPrice_TradingCurrency,1,COLUMN())/INDEX(MO_VA_FX_EoP,1,COLUMN()),INDEX(MO_VA_StockPrice_TradingCurrency,1,COLUMN())/INDEX(MO_VA_FX_Average,1,COLUMN()))</f>
        <v>89.31</v>
      </c>
      <c r="BH298" s="806">
        <f>IF(MO.ValuationToggle="EoP",INDEX(MO_VA_StockPrice_TradingCurrency,1,COLUMN())/INDEX(MO_VA_FX_EoP,1,COLUMN()),INDEX(MO_VA_StockPrice_TradingCurrency,1,COLUMN())/INDEX(MO_VA_FX_Average,1,COLUMN()))</f>
        <v>110.59</v>
      </c>
      <c r="BI298" s="616">
        <f ca="1">IF(MO.ValuationToggle="EoP",INDEX(MO_VA_StockPrice_TradingCurrency,1,COLUMN())/INDEX(MO_VA_FX_EoP,1,COLUMN()),INDEX(MO_VA_StockPrice_TradingCurrency,1,COLUMN())/INDEX(MO_VA_FX_Average,1,COLUMN()))</f>
        <v>104.51000000000001</v>
      </c>
      <c r="BJ298" s="1052">
        <f t="shared" ca="1" si="685"/>
        <v>104.51000000000001</v>
      </c>
      <c r="BK298" s="616">
        <f ca="1" t="shared" si="686" ref="BK298:BR298">IF(MO.ValuationToggle="EoP",INDEX(MO_VA_StockPrice_TradingCurrency,1,COLUMN())/INDEX(MO_VA_FX_EoP,1,COLUMN()),INDEX(MO_VA_StockPrice_TradingCurrency,1,COLUMN())/INDEX(MO_VA_FX_Average,1,COLUMN()))</f>
        <v>104.51000000000001</v>
      </c>
      <c r="BL298" s="616">
        <f t="shared" ca="1" si="686"/>
        <v>104.51000000000001</v>
      </c>
      <c r="BM298" s="616">
        <f t="shared" ca="1" si="686"/>
        <v>104.51000000000001</v>
      </c>
      <c r="BN298" s="616">
        <f t="shared" ca="1" si="686"/>
        <v>104.51000000000001</v>
      </c>
      <c r="BO298" s="1052">
        <f t="shared" ca="1" si="686"/>
        <v>104.51000000000001</v>
      </c>
      <c r="BP298" s="1052">
        <f t="shared" ca="1" si="686"/>
        <v>104.51000000000001</v>
      </c>
      <c r="BQ298" s="1052">
        <f t="shared" ca="1" si="686"/>
        <v>104.51000000000001</v>
      </c>
      <c r="BR298" s="1052">
        <f t="shared" ca="1" si="686"/>
        <v>104.51000000000001</v>
      </c>
      <c r="BS298" s="297"/>
    </row>
    <row r="299" spans="1:71" s="223" customFormat="1" ht="15">
      <c r="A299" s="816" t="str">
        <f>"Market Cap - "&amp;MO.ValuationToggle</f>
        <v>Market Cap - EoP</v>
      </c>
      <c r="B299" s="500"/>
      <c r="C299" s="1066">
        <f t="shared" si="687" ref="C299:AH299">INDEX(MO_VA_StockPrice,0,COLUMN())*INDEX(MO_SCA_ShareCount_EoP_Diluted,0,COLUMN())</f>
        <v>22084.183519999999</v>
      </c>
      <c r="D299" s="1066">
        <f t="shared" si="687"/>
        <v>26570.281719999999</v>
      </c>
      <c r="E299" s="1066">
        <f t="shared" si="687"/>
        <v>20295.904859999999</v>
      </c>
      <c r="F299" s="1066">
        <f t="shared" si="687"/>
        <v>24568.21125</v>
      </c>
      <c r="G299" s="1066">
        <f t="shared" si="687"/>
        <v>30832.054110000001</v>
      </c>
      <c r="H299" s="847">
        <f t="shared" si="687"/>
        <v>28635.369360000001</v>
      </c>
      <c r="I299" s="847">
        <f t="shared" si="687"/>
        <v>28585.957119999995</v>
      </c>
      <c r="J299" s="847">
        <f t="shared" si="687"/>
        <v>26500.591980000001</v>
      </c>
      <c r="K299" s="847">
        <f t="shared" si="687"/>
        <v>27587.607899999995</v>
      </c>
      <c r="L299" s="1066">
        <f t="shared" si="687"/>
        <v>27587.607899999995</v>
      </c>
      <c r="M299" s="847">
        <f t="shared" si="687"/>
        <v>28016.366400000006</v>
      </c>
      <c r="N299" s="847">
        <f t="shared" si="687"/>
        <v>26615.93088</v>
      </c>
      <c r="O299" s="847">
        <f t="shared" si="687"/>
        <v>24815.790479999996</v>
      </c>
      <c r="P299" s="847">
        <f t="shared" si="687"/>
        <v>25834.777600000001</v>
      </c>
      <c r="Q299" s="1066">
        <f t="shared" si="687"/>
        <v>25834.777600000001</v>
      </c>
      <c r="R299" s="847">
        <f t="shared" si="687"/>
        <v>26599.30875</v>
      </c>
      <c r="S299" s="847">
        <f t="shared" si="687"/>
        <v>28914.16704</v>
      </c>
      <c r="T299" s="847">
        <f t="shared" si="687"/>
        <v>29385.541519999999</v>
      </c>
      <c r="U299" s="847">
        <f t="shared" si="687"/>
        <v>28420.6728</v>
      </c>
      <c r="V299" s="1066">
        <f t="shared" si="687"/>
        <v>28420.6728</v>
      </c>
      <c r="W299" s="847">
        <f t="shared" si="687"/>
        <v>28996.05312</v>
      </c>
      <c r="X299" s="847">
        <f t="shared" si="687"/>
        <v>30955.7264</v>
      </c>
      <c r="Y299" s="847">
        <f t="shared" si="687"/>
        <v>32293.68003</v>
      </c>
      <c r="Z299" s="847">
        <f t="shared" si="687"/>
        <v>34527.034080000005</v>
      </c>
      <c r="AA299" s="1066">
        <f t="shared" si="687"/>
        <v>34527.034080000005</v>
      </c>
      <c r="AB299" s="847">
        <f t="shared" si="687"/>
        <v>34179.141839999997</v>
      </c>
      <c r="AC299" s="847">
        <f t="shared" si="687"/>
        <v>33303.072600000007</v>
      </c>
      <c r="AD299" s="847">
        <f t="shared" si="687"/>
        <v>36156.067380000008</v>
      </c>
      <c r="AE299" s="847">
        <f t="shared" si="687"/>
        <v>34177.822399999997</v>
      </c>
      <c r="AF299" s="1066">
        <f t="shared" si="687"/>
        <v>34177.822399999997</v>
      </c>
      <c r="AG299" s="847">
        <f t="shared" si="687"/>
        <v>37542.699999999997</v>
      </c>
      <c r="AH299" s="847">
        <f t="shared" si="687"/>
        <v>40787.464410000008</v>
      </c>
      <c r="AI299" s="847">
        <f t="shared" si="688" ref="AI299:BJ299">INDEX(MO_VA_StockPrice,0,COLUMN())*INDEX(MO_SCA_ShareCount_EoP_Diluted,0,COLUMN())</f>
        <v>38348.059139999998</v>
      </c>
      <c r="AJ299" s="847">
        <f t="shared" si="688"/>
        <v>38547.560520000006</v>
      </c>
      <c r="AK299" s="1066">
        <f t="shared" si="688"/>
        <v>38547.560520000006</v>
      </c>
      <c r="AL299" s="847">
        <f t="shared" si="688"/>
        <v>26162.605279999996</v>
      </c>
      <c r="AM299" s="847">
        <f t="shared" si="688"/>
        <v>25360.19169</v>
      </c>
      <c r="AN299" s="847">
        <f t="shared" si="688"/>
        <v>25418.197380000001</v>
      </c>
      <c r="AO299" s="847">
        <f t="shared" si="688"/>
        <v>30600.020970000001</v>
      </c>
      <c r="AP299" s="999">
        <f t="shared" si="688"/>
        <v>30600.020970000001</v>
      </c>
      <c r="AQ299" s="847">
        <f t="shared" si="688"/>
        <v>35436.637470000001</v>
      </c>
      <c r="AR299" s="847">
        <f t="shared" si="688"/>
        <v>36138.752999999997</v>
      </c>
      <c r="AS299" s="847">
        <f t="shared" si="688"/>
        <v>35123.785200000006</v>
      </c>
      <c r="AT299" s="847">
        <f t="shared" si="688"/>
        <v>38388.656639999994</v>
      </c>
      <c r="AU299" s="999">
        <f t="shared" si="688"/>
        <v>38388.656639999994</v>
      </c>
      <c r="AV299" s="847">
        <f t="shared" si="688"/>
        <v>42471.7065</v>
      </c>
      <c r="AW299" s="847">
        <f t="shared" si="688"/>
        <v>35331.45852</v>
      </c>
      <c r="AX299" s="847">
        <f t="shared" si="688"/>
        <v>35445.333120000003</v>
      </c>
      <c r="AY299" s="847">
        <f t="shared" si="688"/>
        <v>44488.055699999997</v>
      </c>
      <c r="AZ299" s="999">
        <f t="shared" si="688"/>
        <v>44488.055699999997</v>
      </c>
      <c r="BA299" s="832">
        <f t="shared" si="688"/>
        <v>39133.130130000005</v>
      </c>
      <c r="BB299" s="832">
        <f t="shared" si="688"/>
        <v>41344.542720000005</v>
      </c>
      <c r="BC299" s="847">
        <f t="shared" si="688"/>
        <v>45224.707250000007</v>
      </c>
      <c r="BD299" s="832">
        <f t="shared" si="688"/>
        <v>47972.43</v>
      </c>
      <c r="BE299" s="999">
        <f t="shared" si="688"/>
        <v>47972.43</v>
      </c>
      <c r="BF299" s="832">
        <f>INDEX(MO_VA_StockPrice,0,COLUMN())*INDEX(MO_SCA_ShareCount_EoP_Diluted,0,COLUMN())</f>
        <v>49186.961640000001</v>
      </c>
      <c r="BG299" s="832">
        <f>INDEX(MO_VA_StockPrice,0,COLUMN())*INDEX(MO_SCA_ShareCount_EoP_Diluted,0,COLUMN())</f>
        <v>50338.152540000003</v>
      </c>
      <c r="BH299" s="848">
        <f>INDEX(MO_VA_StockPrice,0,COLUMN())*INDEX(MO_SCA_ShareCount_EoP_Diluted,0,COLUMN())</f>
        <v>61817.819380000001</v>
      </c>
      <c r="BI299" s="832">
        <f ca="1">INDEX(MO_VA_StockPrice,0,COLUMN())*INDEX(MO_SCA_ShareCount_EoP_Diluted,0,COLUMN())</f>
        <v>58415.223644679994</v>
      </c>
      <c r="BJ299" s="999">
        <f t="shared" ca="1" si="688"/>
        <v>58415.223644679994</v>
      </c>
      <c r="BK299" s="832">
        <f ca="1" t="shared" si="689" ref="BK299:BR299">INDEX(MO_VA_StockPrice,0,COLUMN())*INDEX(MO_SCA_ShareCount_EoP_Diluted,0,COLUMN())</f>
        <v>58415.223644679994</v>
      </c>
      <c r="BL299" s="832">
        <f t="shared" ca="1" si="689"/>
        <v>58415.223644679994</v>
      </c>
      <c r="BM299" s="832">
        <f t="shared" ca="1" si="689"/>
        <v>58415.223644679994</v>
      </c>
      <c r="BN299" s="832">
        <f t="shared" ca="1" si="689"/>
        <v>58415.223644679994</v>
      </c>
      <c r="BO299" s="999">
        <f t="shared" ca="1" si="689"/>
        <v>58415.223644679994</v>
      </c>
      <c r="BP299" s="999">
        <f t="shared" ca="1" si="689"/>
        <v>58415.223644679994</v>
      </c>
      <c r="BQ299" s="999">
        <f t="shared" ca="1" si="689"/>
        <v>58415.223644679994</v>
      </c>
      <c r="BR299" s="999">
        <f t="shared" ca="1" si="689"/>
        <v>58415.223644679994</v>
      </c>
      <c r="BS299" s="816"/>
    </row>
    <row r="300" spans="1:71" s="51" customFormat="1" ht="15">
      <c r="A300" s="521"/>
      <c r="B300" s="522"/>
      <c r="C300" s="1067"/>
      <c r="D300" s="1067"/>
      <c r="E300" s="1067"/>
      <c r="F300" s="1067"/>
      <c r="G300" s="1067"/>
      <c r="H300" s="481"/>
      <c r="I300" s="481"/>
      <c r="J300" s="481"/>
      <c r="K300" s="481"/>
      <c r="L300" s="1067"/>
      <c r="M300" s="481"/>
      <c r="N300" s="481"/>
      <c r="O300" s="481"/>
      <c r="P300" s="481"/>
      <c r="Q300" s="1067"/>
      <c r="R300" s="481"/>
      <c r="S300" s="523"/>
      <c r="T300" s="481"/>
      <c r="U300" s="481"/>
      <c r="V300" s="1067"/>
      <c r="W300" s="481"/>
      <c r="X300" s="523"/>
      <c r="Y300" s="481"/>
      <c r="Z300" s="481"/>
      <c r="AA300" s="1067"/>
      <c r="AB300" s="481"/>
      <c r="AC300" s="523"/>
      <c r="AD300" s="481"/>
      <c r="AE300" s="481"/>
      <c r="AF300" s="1067"/>
      <c r="AG300" s="481"/>
      <c r="AH300" s="523"/>
      <c r="AI300" s="481"/>
      <c r="AJ300" s="481"/>
      <c r="AK300" s="1067"/>
      <c r="AL300" s="523"/>
      <c r="AM300" s="523"/>
      <c r="AN300" s="523"/>
      <c r="AO300" s="523"/>
      <c r="AP300" s="1067"/>
      <c r="AQ300" s="523"/>
      <c r="AR300" s="523"/>
      <c r="AS300" s="523"/>
      <c r="AT300" s="523"/>
      <c r="AU300" s="1067"/>
      <c r="AV300" s="523"/>
      <c r="AW300" s="523"/>
      <c r="AX300" s="523"/>
      <c r="AY300" s="523"/>
      <c r="AZ300" s="1067"/>
      <c r="BA300" s="523"/>
      <c r="BB300" s="523"/>
      <c r="BC300" s="523"/>
      <c r="BD300" s="523"/>
      <c r="BE300" s="1067"/>
      <c r="BF300" s="523"/>
      <c r="BG300" s="523"/>
      <c r="BH300" s="770"/>
      <c r="BI300" s="523"/>
      <c r="BJ300" s="1067"/>
      <c r="BK300" s="523"/>
      <c r="BL300" s="523"/>
      <c r="BM300" s="523"/>
      <c r="BN300" s="523"/>
      <c r="BO300" s="1067"/>
      <c r="BP300" s="1067"/>
      <c r="BQ300" s="1067"/>
      <c r="BR300" s="1067"/>
      <c r="BS300" s="94"/>
    </row>
    <row r="301" spans="1:71" s="51" customFormat="1" ht="15">
      <c r="A301" s="55" t="str">
        <f>"P/E - "&amp;MO.ValuationToggle</f>
        <v>P/E - EoP</v>
      </c>
      <c r="B301" s="522"/>
      <c r="C301" s="1068">
        <f>C298/C234</f>
        <v>9.6573005884936318</v>
      </c>
      <c r="D301" s="1068">
        <f>D298/D234</f>
        <v>10.135728666921313</v>
      </c>
      <c r="E301" s="1068">
        <f>E298/E234</f>
        <v>6.8923782077393074</v>
      </c>
      <c r="F301" s="1068">
        <f>F298/F234</f>
        <v>7.917418711656441</v>
      </c>
      <c r="G301" s="1068">
        <f>G298/G234</f>
        <v>10.797173370280568</v>
      </c>
      <c r="H301" s="481"/>
      <c r="I301" s="481"/>
      <c r="J301" s="481"/>
      <c r="K301" s="481"/>
      <c r="L301" s="1068">
        <f>L298/L234</f>
        <v>10.060393278512691</v>
      </c>
      <c r="M301" s="481"/>
      <c r="N301" s="481"/>
      <c r="O301" s="481"/>
      <c r="P301" s="481"/>
      <c r="Q301" s="1068">
        <f>Q298/Q234</f>
        <v>9.8222440764331207</v>
      </c>
      <c r="R301" s="481"/>
      <c r="S301" s="523"/>
      <c r="T301" s="481"/>
      <c r="U301" s="481"/>
      <c r="V301" s="1068">
        <f>V298/V234</f>
        <v>10.709628847583641</v>
      </c>
      <c r="W301" s="481"/>
      <c r="X301" s="523"/>
      <c r="Y301" s="481"/>
      <c r="Z301" s="481"/>
      <c r="AA301" s="1068">
        <f>AA298/AA234</f>
        <v>11.711730903010034</v>
      </c>
      <c r="AB301" s="481"/>
      <c r="AC301" s="523"/>
      <c r="AD301" s="481"/>
      <c r="AE301" s="481"/>
      <c r="AF301" s="1068">
        <f>AF298/AF234</f>
        <v>10.888216854283929</v>
      </c>
      <c r="AG301" s="481"/>
      <c r="AH301" s="523"/>
      <c r="AI301" s="481"/>
      <c r="AJ301" s="481"/>
      <c r="AK301" s="1068">
        <f>AK298/AK234</f>
        <v>11.932924583207033</v>
      </c>
      <c r="AL301" s="523"/>
      <c r="AM301" s="523"/>
      <c r="AN301" s="523"/>
      <c r="AO301" s="523"/>
      <c r="AP301" s="1067">
        <f>AP298/AP234</f>
        <v>8.9518914853734728</v>
      </c>
      <c r="AQ301" s="523"/>
      <c r="AR301" s="523"/>
      <c r="AS301" s="523"/>
      <c r="AT301" s="523"/>
      <c r="AU301" s="1067">
        <f>AU298/AU234</f>
        <v>9.7681168942568419</v>
      </c>
      <c r="AV301" s="523"/>
      <c r="AW301" s="523"/>
      <c r="AX301" s="523"/>
      <c r="AY301" s="523"/>
      <c r="AZ301" s="1067">
        <f>AZ298/AZ234</f>
        <v>12.696623498477718</v>
      </c>
      <c r="BA301" s="523"/>
      <c r="BB301" s="523"/>
      <c r="BC301" s="523"/>
      <c r="BD301" s="523"/>
      <c r="BE301" s="1067">
        <f>BE298/BE234</f>
        <v>12.840255393813361</v>
      </c>
      <c r="BF301" s="523"/>
      <c r="BG301" s="523"/>
      <c r="BH301" s="770"/>
      <c r="BI301" s="523"/>
      <c r="BJ301" s="1067">
        <f ca="1">BJ298/BJ234</f>
        <v>14.330422614585473</v>
      </c>
      <c r="BK301" s="523"/>
      <c r="BL301" s="523"/>
      <c r="BM301" s="523"/>
      <c r="BN301" s="523"/>
      <c r="BO301" s="1067">
        <f ca="1">BO298/BO234</f>
        <v>15.123257170852956</v>
      </c>
      <c r="BP301" s="1067">
        <f ca="1">BP298/BP234</f>
        <v>14.253262222383656</v>
      </c>
      <c r="BQ301" s="1067">
        <f ca="1">BQ298/BQ234</f>
        <v>14.449725929923881</v>
      </c>
      <c r="BR301" s="1067">
        <f ca="1">BR298/BR234</f>
        <v>19.129891198491574</v>
      </c>
      <c r="BS301" s="94"/>
    </row>
    <row r="302" spans="1:71" s="51" customFormat="1" ht="15">
      <c r="A302" s="55" t="str">
        <f>"P/B - "&amp;MO.ValuationToggle</f>
        <v>P/B - EoP</v>
      </c>
      <c r="B302" s="522"/>
      <c r="C302" s="1068">
        <f>C298/C273</f>
        <v>2.6097738927082315</v>
      </c>
      <c r="D302" s="1068">
        <f>D298/D273</f>
        <v>2.3827138928574829</v>
      </c>
      <c r="E302" s="1068">
        <f>E298/E273</f>
        <v>1.5582087126559396</v>
      </c>
      <c r="F302" s="1068">
        <f>F298/F273</f>
        <v>1.5297170295770275</v>
      </c>
      <c r="G302" s="1068">
        <f>G298/G273</f>
        <v>2.0956397307148511</v>
      </c>
      <c r="H302" s="481"/>
      <c r="I302" s="481"/>
      <c r="J302" s="481"/>
      <c r="K302" s="481"/>
      <c r="L302" s="1068">
        <f>L298/L273</f>
        <v>1.4946716330857504</v>
      </c>
      <c r="M302" s="481"/>
      <c r="N302" s="481"/>
      <c r="O302" s="481"/>
      <c r="P302" s="481"/>
      <c r="Q302" s="1068">
        <f>Q298/Q273</f>
        <v>1.4503884006889203</v>
      </c>
      <c r="R302" s="481"/>
      <c r="S302" s="523"/>
      <c r="T302" s="481"/>
      <c r="U302" s="481"/>
      <c r="V302" s="1068">
        <f>V298/V273</f>
        <v>1.37898524755242</v>
      </c>
      <c r="W302" s="481"/>
      <c r="X302" s="523"/>
      <c r="Y302" s="481"/>
      <c r="Z302" s="481"/>
      <c r="AA302" s="1068">
        <f>AA298/AA273</f>
        <v>1.3933710207018932</v>
      </c>
      <c r="AB302" s="481"/>
      <c r="AC302" s="523"/>
      <c r="AD302" s="481"/>
      <c r="AE302" s="481"/>
      <c r="AF302" s="1068">
        <f>AF298/AF273</f>
        <v>1.4470251962658702</v>
      </c>
      <c r="AG302" s="481"/>
      <c r="AH302" s="523"/>
      <c r="AI302" s="481"/>
      <c r="AJ302" s="481"/>
      <c r="AK302" s="1068">
        <f>AK298/AK273</f>
        <v>1.3236321188142788</v>
      </c>
      <c r="AL302" s="523"/>
      <c r="AM302" s="523"/>
      <c r="AN302" s="523"/>
      <c r="AO302" s="523"/>
      <c r="AP302" s="1067">
        <f>AP298/AP273</f>
        <v>0.90809918622056351</v>
      </c>
      <c r="AQ302" s="523"/>
      <c r="AR302" s="523"/>
      <c r="AS302" s="523"/>
      <c r="AT302" s="523"/>
      <c r="AU302" s="1067">
        <f>AU298/AU273</f>
        <v>1.1484332299625759</v>
      </c>
      <c r="AV302" s="523"/>
      <c r="AW302" s="523"/>
      <c r="AX302" s="523"/>
      <c r="AY302" s="523"/>
      <c r="AZ302" s="1067">
        <f>AZ298/AZ273</f>
        <v>1.9790528507246707</v>
      </c>
      <c r="BA302" s="523"/>
      <c r="BB302" s="523"/>
      <c r="BC302" s="523"/>
      <c r="BD302" s="523"/>
      <c r="BE302" s="1067">
        <f>BE298/BE273</f>
        <v>2.170776314604375</v>
      </c>
      <c r="BF302" s="523"/>
      <c r="BG302" s="523"/>
      <c r="BH302" s="770"/>
      <c r="BI302" s="523"/>
      <c r="BJ302" s="1067">
        <f ca="1">BJ298/BJ273</f>
        <v>2.290823846540273</v>
      </c>
      <c r="BK302" s="523"/>
      <c r="BL302" s="523"/>
      <c r="BM302" s="523"/>
      <c r="BN302" s="523"/>
      <c r="BO302" s="1067">
        <f ca="1">BO298/BO273</f>
        <v>2.0613932252847169</v>
      </c>
      <c r="BP302" s="1067">
        <f ca="1">BP298/BP273</f>
        <v>1.8592825048205517</v>
      </c>
      <c r="BQ302" s="1067">
        <f ca="1">BQ298/BQ273</f>
        <v>1.6958969403542936</v>
      </c>
      <c r="BR302" s="1067">
        <f ca="1">BR298/BR273</f>
        <v>1.6022948676982167</v>
      </c>
      <c r="BS302" s="94"/>
    </row>
    <row r="303" spans="1:71" s="51" customFormat="1" ht="15" hidden="1" outlineLevel="1">
      <c r="A303" s="521"/>
      <c r="B303" s="522"/>
      <c r="C303" s="1067"/>
      <c r="D303" s="1067"/>
      <c r="E303" s="1067"/>
      <c r="F303" s="1067"/>
      <c r="G303" s="1067"/>
      <c r="H303" s="481"/>
      <c r="I303" s="481"/>
      <c r="J303" s="481"/>
      <c r="K303" s="481"/>
      <c r="L303" s="1067"/>
      <c r="M303" s="481"/>
      <c r="N303" s="481"/>
      <c r="O303" s="481"/>
      <c r="P303" s="481"/>
      <c r="Q303" s="1067"/>
      <c r="R303" s="481"/>
      <c r="S303" s="523"/>
      <c r="T303" s="481"/>
      <c r="U303" s="481"/>
      <c r="V303" s="1067"/>
      <c r="W303" s="481"/>
      <c r="X303" s="523"/>
      <c r="Y303" s="481"/>
      <c r="Z303" s="481"/>
      <c r="AA303" s="1067"/>
      <c r="AB303" s="481"/>
      <c r="AC303" s="523"/>
      <c r="AD303" s="481"/>
      <c r="AE303" s="481"/>
      <c r="AF303" s="1067"/>
      <c r="AG303" s="481"/>
      <c r="AH303" s="523"/>
      <c r="AI303" s="481"/>
      <c r="AJ303" s="481"/>
      <c r="AK303" s="1067"/>
      <c r="AL303" s="523"/>
      <c r="AM303" s="523"/>
      <c r="AN303" s="523"/>
      <c r="AO303" s="523"/>
      <c r="AP303" s="1067"/>
      <c r="AQ303" s="523"/>
      <c r="AR303" s="523"/>
      <c r="AS303" s="523"/>
      <c r="AT303" s="523"/>
      <c r="AU303" s="1067"/>
      <c r="AV303" s="523"/>
      <c r="AW303" s="523"/>
      <c r="AX303" s="523"/>
      <c r="AY303" s="523"/>
      <c r="AZ303" s="1067"/>
      <c r="BA303" s="523"/>
      <c r="BB303" s="523"/>
      <c r="BC303" s="523"/>
      <c r="BD303" s="523"/>
      <c r="BE303" s="1067"/>
      <c r="BF303" s="523"/>
      <c r="BG303" s="523"/>
      <c r="BH303" s="770"/>
      <c r="BI303" s="523"/>
      <c r="BJ303" s="1067"/>
      <c r="BK303" s="523"/>
      <c r="BL303" s="523"/>
      <c r="BM303" s="523"/>
      <c r="BN303" s="523"/>
      <c r="BO303" s="1067"/>
      <c r="BP303" s="1067"/>
      <c r="BQ303" s="1067"/>
      <c r="BR303" s="1067"/>
      <c r="BS303" s="94"/>
    </row>
    <row r="304" spans="1:71" s="285" customFormat="1" ht="15" hidden="1" outlineLevel="1">
      <c r="A304" s="291" t="str">
        <f ca="1">"Stock High, "&amp;HP.TradeCurrency</f>
        <v>Stock High, USD</v>
      </c>
      <c r="B304" s="524"/>
      <c r="C304" s="1069">
        <f ca="1" t="shared" si="690" ref="C304:AZ304">IF(INDEX(MO_SNA_IsHistoricalPeriod,1,COLUMN())=FALSE,0,INDEX(MO_SPT_StockHigh,1,COLUMN()))</f>
        <v>23.875</v>
      </c>
      <c r="D304" s="1069">
        <f t="shared" ca="1" si="690"/>
        <v>29.155</v>
      </c>
      <c r="E304" s="1069">
        <f t="shared" ca="1" si="690"/>
        <v>29.77</v>
      </c>
      <c r="F304" s="1069">
        <f t="shared" ca="1" si="690"/>
        <v>27.465</v>
      </c>
      <c r="G304" s="1069">
        <f t="shared" ca="1" si="690"/>
        <v>33.81</v>
      </c>
      <c r="H304" s="293">
        <f t="shared" ca="1" si="690"/>
        <v>33.345</v>
      </c>
      <c r="I304" s="293">
        <f t="shared" ca="1" si="690"/>
        <v>32.235</v>
      </c>
      <c r="J304" s="293">
        <f t="shared" ca="1" si="690"/>
        <v>32.10</v>
      </c>
      <c r="K304" s="293">
        <f t="shared" ca="1" si="690"/>
        <v>31.23</v>
      </c>
      <c r="L304" s="1069">
        <f t="shared" ca="1" si="690"/>
        <v>33.345</v>
      </c>
      <c r="M304" s="293">
        <f t="shared" ca="1" si="690"/>
        <v>32.31</v>
      </c>
      <c r="N304" s="293">
        <f t="shared" ca="1" si="690"/>
        <v>32.549999999999997</v>
      </c>
      <c r="O304" s="293">
        <f t="shared" ca="1" si="690"/>
        <v>32.494999999999997</v>
      </c>
      <c r="P304" s="293">
        <f t="shared" ca="1" si="690"/>
        <v>33.265</v>
      </c>
      <c r="Q304" s="1069">
        <f t="shared" ca="1" si="690"/>
        <v>33.265</v>
      </c>
      <c r="R304" s="293">
        <f t="shared" ca="1" si="690"/>
        <v>32.165</v>
      </c>
      <c r="S304" s="293">
        <f t="shared" ca="1" si="690"/>
        <v>36.085</v>
      </c>
      <c r="T304" s="293">
        <f t="shared" ca="1" si="690"/>
        <v>37.25</v>
      </c>
      <c r="U304" s="293">
        <f t="shared" ca="1" si="690"/>
        <v>36.975</v>
      </c>
      <c r="V304" s="1069">
        <f t="shared" ca="1" si="690"/>
        <v>37.25</v>
      </c>
      <c r="W304" s="293">
        <f t="shared" ca="1" si="690"/>
        <v>36.665</v>
      </c>
      <c r="X304" s="293">
        <f t="shared" ca="1" si="690"/>
        <v>39.93</v>
      </c>
      <c r="Y304" s="293">
        <f t="shared" ca="1" si="690"/>
        <v>42.255</v>
      </c>
      <c r="Z304" s="293">
        <f t="shared" ca="1" si="690"/>
        <v>44.905</v>
      </c>
      <c r="AA304" s="1069">
        <f t="shared" ca="1" si="690"/>
        <v>44.905</v>
      </c>
      <c r="AB304" s="293">
        <f t="shared" ca="1" si="690"/>
        <v>45.066400000000002</v>
      </c>
      <c r="AC304" s="293">
        <f t="shared" ca="1" si="690"/>
        <v>45.373399999999997</v>
      </c>
      <c r="AD304" s="293">
        <f t="shared" ca="1" si="690"/>
        <v>47.764699999999998</v>
      </c>
      <c r="AE304" s="293">
        <f t="shared" ca="1" si="690"/>
        <v>47.138300000000001</v>
      </c>
      <c r="AF304" s="1069">
        <f t="shared" ca="1" si="690"/>
        <v>47.764699999999998</v>
      </c>
      <c r="AG304" s="293">
        <f t="shared" ca="1" si="690"/>
        <v>50.25</v>
      </c>
      <c r="AH304" s="293">
        <f t="shared" ca="1" si="690"/>
        <v>55.34</v>
      </c>
      <c r="AI304" s="293">
        <f t="shared" ca="1" si="690"/>
        <v>56.89</v>
      </c>
      <c r="AJ304" s="293">
        <f t="shared" ca="1" si="690"/>
        <v>54.84</v>
      </c>
      <c r="AK304" s="1069">
        <f t="shared" ca="1" si="690"/>
        <v>56.89</v>
      </c>
      <c r="AL304" s="293">
        <f t="shared" ca="1" si="690"/>
        <v>53.42</v>
      </c>
      <c r="AM304" s="293">
        <f t="shared" ca="1" si="690"/>
        <v>42.10</v>
      </c>
      <c r="AN304" s="293">
        <f t="shared" ca="1" si="690"/>
        <v>38.07</v>
      </c>
      <c r="AO304" s="293">
        <f t="shared" ca="1" si="690"/>
        <v>46.29</v>
      </c>
      <c r="AP304" s="1070">
        <f t="shared" ca="1" si="690"/>
        <v>53.42</v>
      </c>
      <c r="AQ304" s="293">
        <f t="shared" ca="1" si="690"/>
        <v>52.14</v>
      </c>
      <c r="AR304" s="293">
        <f t="shared" ca="1" si="690"/>
        <v>57.48</v>
      </c>
      <c r="AS304" s="293">
        <f t="shared" ca="1" si="690"/>
        <v>57.52</v>
      </c>
      <c r="AT304" s="293">
        <f t="shared" ca="1" si="690"/>
        <v>58.79</v>
      </c>
      <c r="AU304" s="1070">
        <f t="shared" ca="1" si="690"/>
        <v>58.79</v>
      </c>
      <c r="AV304" s="293">
        <f t="shared" ca="1" si="690"/>
        <v>66.040000000000006</v>
      </c>
      <c r="AW304" s="293">
        <f t="shared" ca="1" si="690"/>
        <v>66.620000000000005</v>
      </c>
      <c r="AX304" s="293">
        <f t="shared" ca="1" si="690"/>
        <v>64.55</v>
      </c>
      <c r="AY304" s="293">
        <f t="shared" ca="1" si="690"/>
        <v>72.50</v>
      </c>
      <c r="AZ304" s="1070">
        <f t="shared" ca="1" si="690"/>
        <v>72.50</v>
      </c>
      <c r="BA304" s="617">
        <f ca="1" t="shared" si="691" ref="BA304:BJ304">IF(INDEX(MO_SNA_IsHistoricalPeriod,1,COLUMN())=FALSE,0,INDEX(MO_SPT_StockHigh,1,COLUMN()))</f>
        <v>73.84</v>
      </c>
      <c r="BB304" s="617">
        <f t="shared" ca="1" si="691"/>
        <v>70.36</v>
      </c>
      <c r="BC304" s="293">
        <f ca="1">IF(INDEX(MO_SNA_IsHistoricalPeriod,1,COLUMN())=FALSE,0,INDEX(MO_SPT_StockHigh,1,COLUMN()))</f>
        <v>77.95</v>
      </c>
      <c r="BD304" s="617">
        <f t="shared" ca="1" si="691"/>
        <v>84.35</v>
      </c>
      <c r="BE304" s="1070">
        <f t="shared" ca="1" si="691"/>
        <v>84.35</v>
      </c>
      <c r="BF304" s="617">
        <f ca="1">IF(INDEX(MO_SNA_IsHistoricalPeriod,1,COLUMN())=FALSE,0,INDEX(MO_SPT_StockHigh,1,COLUMN()))</f>
        <v>85.86</v>
      </c>
      <c r="BG304" s="617">
        <f ca="1">IF(INDEX(MO_SNA_IsHistoricalPeriod,1,COLUMN())=FALSE,0,INDEX(MO_SPT_StockHigh,1,COLUMN()))</f>
        <v>90.43</v>
      </c>
      <c r="BH304" s="807">
        <f ca="1">IF(INDEX(MO_SNA_IsHistoricalPeriod,1,COLUMN())=FALSE,0,INDEX(MO_SPT_StockHigh,1,COLUMN()))</f>
        <v>111.80</v>
      </c>
      <c r="BI304" s="617">
        <f>IF(INDEX(MO_SNA_IsHistoricalPeriod,1,COLUMN())=FALSE,0,INDEX(MO_SPT_StockHigh,1,COLUMN()))</f>
        <v>0</v>
      </c>
      <c r="BJ304" s="1070">
        <f t="shared" si="691"/>
        <v>0</v>
      </c>
      <c r="BK304" s="617">
        <f t="shared" si="692" ref="BK304:BR304">IF(INDEX(MO_SNA_IsHistoricalPeriod,1,COLUMN())=FALSE,0,INDEX(MO_SPT_StockHigh,1,COLUMN()))</f>
        <v>0</v>
      </c>
      <c r="BL304" s="617">
        <f t="shared" si="692"/>
        <v>0</v>
      </c>
      <c r="BM304" s="617">
        <f t="shared" si="692"/>
        <v>0</v>
      </c>
      <c r="BN304" s="617">
        <f t="shared" si="692"/>
        <v>0</v>
      </c>
      <c r="BO304" s="1070">
        <f t="shared" si="692"/>
        <v>0</v>
      </c>
      <c r="BP304" s="1070">
        <f t="shared" si="692"/>
        <v>0</v>
      </c>
      <c r="BQ304" s="1070">
        <f t="shared" si="692"/>
        <v>0</v>
      </c>
      <c r="BR304" s="1070">
        <f t="shared" si="692"/>
        <v>0</v>
      </c>
      <c r="BS304" s="225"/>
    </row>
    <row r="305" spans="1:71" s="285" customFormat="1" ht="15" hidden="1" outlineLevel="1">
      <c r="A305" s="291" t="str">
        <f ca="1">"Stock Low, "&amp;HP.TradeCurrency</f>
        <v>Stock Low, USD</v>
      </c>
      <c r="B305" s="524"/>
      <c r="C305" s="1069">
        <f ca="1" t="shared" si="693" ref="C305:AZ305">IF(INDEX(MO_SNA_IsHistoricalPeriod,1,COLUMN())=FALSE,0,INDEX(MO_SPT_StockLow,1,COLUMN()))</f>
        <v>5.415</v>
      </c>
      <c r="D305" s="1069">
        <f t="shared" ca="1" si="693"/>
        <v>19.954999999999998</v>
      </c>
      <c r="E305" s="1069">
        <f t="shared" ca="1" si="693"/>
        <v>15.625</v>
      </c>
      <c r="F305" s="1069">
        <f t="shared" ca="1" si="693"/>
        <v>19.07</v>
      </c>
      <c r="G305" s="1069">
        <f t="shared" ca="1" si="693"/>
        <v>24.085</v>
      </c>
      <c r="H305" s="293">
        <f t="shared" ca="1" si="693"/>
        <v>30.225</v>
      </c>
      <c r="I305" s="293">
        <f t="shared" ca="1" si="693"/>
        <v>30.30</v>
      </c>
      <c r="J305" s="293">
        <f t="shared" ca="1" si="693"/>
        <v>28.85</v>
      </c>
      <c r="K305" s="293">
        <f t="shared" ca="1" si="693"/>
        <v>27.495</v>
      </c>
      <c r="L305" s="1069">
        <f t="shared" ca="1" si="693"/>
        <v>27.495</v>
      </c>
      <c r="M305" s="293">
        <f t="shared" ca="1" si="693"/>
        <v>28.205</v>
      </c>
      <c r="N305" s="293">
        <f t="shared" ca="1" si="693"/>
        <v>30.66</v>
      </c>
      <c r="O305" s="293">
        <f t="shared" ca="1" si="693"/>
        <v>25.705</v>
      </c>
      <c r="P305" s="293">
        <f t="shared" ca="1" si="693"/>
        <v>28.39</v>
      </c>
      <c r="Q305" s="1069">
        <f t="shared" ca="1" si="693"/>
        <v>25.705</v>
      </c>
      <c r="R305" s="293">
        <f t="shared" ca="1" si="693"/>
        <v>27.285</v>
      </c>
      <c r="S305" s="293">
        <f t="shared" ca="1" si="693"/>
        <v>31.295</v>
      </c>
      <c r="T305" s="293">
        <f t="shared" ca="1" si="693"/>
        <v>35.51</v>
      </c>
      <c r="U305" s="293">
        <f t="shared" ca="1" si="693"/>
        <v>33.75</v>
      </c>
      <c r="V305" s="1069">
        <f t="shared" ca="1" si="693"/>
        <v>27.285</v>
      </c>
      <c r="W305" s="293">
        <f t="shared" ca="1" si="693"/>
        <v>33.25</v>
      </c>
      <c r="X305" s="293">
        <f t="shared" ca="1" si="693"/>
        <v>36.04</v>
      </c>
      <c r="Y305" s="293">
        <f t="shared" ca="1" si="693"/>
        <v>38.31</v>
      </c>
      <c r="Z305" s="293">
        <f t="shared" ca="1" si="693"/>
        <v>40.705</v>
      </c>
      <c r="AA305" s="1069">
        <f t="shared" ca="1" si="693"/>
        <v>33.25</v>
      </c>
      <c r="AB305" s="293">
        <f t="shared" ca="1" si="693"/>
        <v>40.803899999999999</v>
      </c>
      <c r="AC305" s="293">
        <f t="shared" ca="1" si="693"/>
        <v>42.244799999999998</v>
      </c>
      <c r="AD305" s="293">
        <f t="shared" ca="1" si="693"/>
        <v>42.001800000000003</v>
      </c>
      <c r="AE305" s="293">
        <f t="shared" ca="1" si="693"/>
        <v>41.460999999999999</v>
      </c>
      <c r="AF305" s="1069">
        <f t="shared" ca="1" si="693"/>
        <v>40.803899999999999</v>
      </c>
      <c r="AG305" s="293">
        <f t="shared" ca="1" si="693"/>
        <v>44.126899999999999</v>
      </c>
      <c r="AH305" s="293">
        <f t="shared" ca="1" si="693"/>
        <v>48.56</v>
      </c>
      <c r="AI305" s="293">
        <f t="shared" ca="1" si="693"/>
        <v>48.36</v>
      </c>
      <c r="AJ305" s="293">
        <f t="shared" ca="1" si="693"/>
        <v>50.58</v>
      </c>
      <c r="AK305" s="1069">
        <f t="shared" ca="1" si="693"/>
        <v>44.37</v>
      </c>
      <c r="AL305" s="293">
        <f t="shared" ca="1" si="693"/>
        <v>25.27</v>
      </c>
      <c r="AM305" s="293">
        <f t="shared" ca="1" si="693"/>
        <v>31.83</v>
      </c>
      <c r="AN305" s="293">
        <f t="shared" ca="1" si="693"/>
        <v>33.97</v>
      </c>
      <c r="AO305" s="293">
        <f t="shared" ca="1" si="693"/>
        <v>33.950000000000003</v>
      </c>
      <c r="AP305" s="1070">
        <f t="shared" ca="1" si="693"/>
        <v>25.27</v>
      </c>
      <c r="AQ305" s="293">
        <f t="shared" ca="1" si="693"/>
        <v>43.19</v>
      </c>
      <c r="AR305" s="293">
        <f t="shared" ca="1" si="693"/>
        <v>51.42</v>
      </c>
      <c r="AS305" s="293">
        <f t="shared" ca="1" si="693"/>
        <v>51.35</v>
      </c>
      <c r="AT305" s="293">
        <f t="shared" ca="1" si="693"/>
        <v>52.77</v>
      </c>
      <c r="AU305" s="1070">
        <f t="shared" ca="1" si="693"/>
        <v>43.19</v>
      </c>
      <c r="AV305" s="293">
        <f t="shared" ca="1" si="693"/>
        <v>58.27</v>
      </c>
      <c r="AW305" s="293">
        <f t="shared" ca="1" si="693"/>
        <v>53.01</v>
      </c>
      <c r="AX305" s="293">
        <f t="shared" ca="1" si="693"/>
        <v>53.45</v>
      </c>
      <c r="AY305" s="293">
        <f t="shared" ca="1" si="693"/>
        <v>57.41</v>
      </c>
      <c r="AZ305" s="1070">
        <f t="shared" ca="1" si="693"/>
        <v>53.01</v>
      </c>
      <c r="BA305" s="617">
        <f ca="1" t="shared" si="694" ref="BA305:BJ305">IF(INDEX(MO_SNA_IsHistoricalPeriod,1,COLUMN())=FALSE,0,INDEX(MO_SPT_StockLow,1,COLUMN()))</f>
        <v>61.24</v>
      </c>
      <c r="BB305" s="617">
        <f t="shared" ca="1" si="694"/>
        <v>63.91</v>
      </c>
      <c r="BC305" s="293">
        <f ca="1">IF(INDEX(MO_SNA_IsHistoricalPeriod,1,COLUMN())=FALSE,0,INDEX(MO_SPT_StockLow,1,COLUMN()))</f>
        <v>69.569999999999993</v>
      </c>
      <c r="BD305" s="617">
        <f t="shared" ca="1" si="694"/>
        <v>75.430000000000007</v>
      </c>
      <c r="BE305" s="1070">
        <f t="shared" ca="1" si="694"/>
        <v>61.24</v>
      </c>
      <c r="BF305" s="617">
        <f ca="1">IF(INDEX(MO_SNA_IsHistoricalPeriod,1,COLUMN())=FALSE,0,INDEX(MO_SPT_StockLow,1,COLUMN()))</f>
        <v>76.20</v>
      </c>
      <c r="BG305" s="617">
        <f ca="1">IF(INDEX(MO_SNA_IsHistoricalPeriod,1,COLUMN())=FALSE,0,INDEX(MO_SPT_StockLow,1,COLUMN()))</f>
        <v>79.64</v>
      </c>
      <c r="BH305" s="807">
        <f ca="1">IF(INDEX(MO_SNA_IsHistoricalPeriod,1,COLUMN())=FALSE,0,INDEX(MO_SPT_StockLow,1,COLUMN()))</f>
        <v>88.52</v>
      </c>
      <c r="BI305" s="617">
        <f>IF(INDEX(MO_SNA_IsHistoricalPeriod,1,COLUMN())=FALSE,0,INDEX(MO_SPT_StockLow,1,COLUMN()))</f>
        <v>0</v>
      </c>
      <c r="BJ305" s="1070">
        <f t="shared" si="694"/>
        <v>0</v>
      </c>
      <c r="BK305" s="617">
        <f t="shared" si="695" ref="BK305:BR305">IF(INDEX(MO_SNA_IsHistoricalPeriod,1,COLUMN())=FALSE,0,INDEX(MO_SPT_StockLow,1,COLUMN()))</f>
        <v>0</v>
      </c>
      <c r="BL305" s="617">
        <f t="shared" si="695"/>
        <v>0</v>
      </c>
      <c r="BM305" s="617">
        <f t="shared" si="695"/>
        <v>0</v>
      </c>
      <c r="BN305" s="617">
        <f t="shared" si="695"/>
        <v>0</v>
      </c>
      <c r="BO305" s="1070">
        <f t="shared" si="695"/>
        <v>0</v>
      </c>
      <c r="BP305" s="1070">
        <f t="shared" si="695"/>
        <v>0</v>
      </c>
      <c r="BQ305" s="1070">
        <f t="shared" si="695"/>
        <v>0</v>
      </c>
      <c r="BR305" s="1070">
        <f t="shared" si="695"/>
        <v>0</v>
      </c>
      <c r="BS305" s="225"/>
    </row>
    <row r="306" spans="1:71" s="285" customFormat="1" ht="15" hidden="1" outlineLevel="1">
      <c r="A306" s="291" t="str">
        <f ca="1">"Stock Average, "&amp;HP.TradeCurrency</f>
        <v>Stock Average, USD</v>
      </c>
      <c r="B306" s="524"/>
      <c r="C306" s="1069">
        <f ca="1" t="shared" si="696" ref="C306:AZ306">IF(INDEX(MO_SNA_IsHistoricalPeriod,1,COLUMN())=FALSE,0,INDEX(MO_SPT_StockAverage,1,COLUMN()))</f>
        <v>14.645</v>
      </c>
      <c r="D306" s="1069">
        <f t="shared" ca="1" si="696"/>
        <v>24.555</v>
      </c>
      <c r="E306" s="1069">
        <f t="shared" ca="1" si="696"/>
        <v>22.6975</v>
      </c>
      <c r="F306" s="1069">
        <f t="shared" ca="1" si="696"/>
        <v>23.2675</v>
      </c>
      <c r="G306" s="1069">
        <f t="shared" ca="1" si="696"/>
        <v>28.9475</v>
      </c>
      <c r="H306" s="293">
        <f t="shared" ca="1" si="696"/>
        <v>31.785</v>
      </c>
      <c r="I306" s="293">
        <f t="shared" ca="1" si="696"/>
        <v>31.2675</v>
      </c>
      <c r="J306" s="293">
        <f t="shared" ca="1" si="696"/>
        <v>30.475</v>
      </c>
      <c r="K306" s="293">
        <f t="shared" ca="1" si="696"/>
        <v>29.3625</v>
      </c>
      <c r="L306" s="1069">
        <f t="shared" ca="1" si="696"/>
        <v>30.7225</v>
      </c>
      <c r="M306" s="293">
        <f t="shared" ca="1" si="696"/>
        <v>30.2575</v>
      </c>
      <c r="N306" s="293">
        <f t="shared" ca="1" si="696"/>
        <v>31.605</v>
      </c>
      <c r="O306" s="293">
        <f t="shared" ca="1" si="696"/>
        <v>29.10</v>
      </c>
      <c r="P306" s="293">
        <f t="shared" ca="1" si="696"/>
        <v>30.8275</v>
      </c>
      <c r="Q306" s="1069">
        <f t="shared" ca="1" si="696"/>
        <v>30.4475</v>
      </c>
      <c r="R306" s="293">
        <f t="shared" ca="1" si="696"/>
        <v>29.725</v>
      </c>
      <c r="S306" s="293">
        <f t="shared" ca="1" si="696"/>
        <v>33.69</v>
      </c>
      <c r="T306" s="293">
        <f t="shared" ca="1" si="696"/>
        <v>36.380000000000003</v>
      </c>
      <c r="U306" s="293">
        <f t="shared" ca="1" si="696"/>
        <v>35.362499999999997</v>
      </c>
      <c r="V306" s="1069">
        <f t="shared" ca="1" si="696"/>
        <v>33.789375</v>
      </c>
      <c r="W306" s="293">
        <f t="shared" ca="1" si="696"/>
        <v>34.957500000000003</v>
      </c>
      <c r="X306" s="293">
        <f t="shared" ca="1" si="696"/>
        <v>37.985</v>
      </c>
      <c r="Y306" s="293">
        <f t="shared" ca="1" si="696"/>
        <v>40.2825</v>
      </c>
      <c r="Z306" s="293">
        <f t="shared" ca="1" si="696"/>
        <v>42.805</v>
      </c>
      <c r="AA306" s="1069">
        <f t="shared" ca="1" si="696"/>
        <v>39.0075</v>
      </c>
      <c r="AB306" s="293">
        <f t="shared" ca="1" si="696"/>
        <v>43.435257377049197</v>
      </c>
      <c r="AC306" s="293">
        <f t="shared" ca="1" si="696"/>
        <v>44.271635937500001</v>
      </c>
      <c r="AD306" s="293">
        <f t="shared" ca="1" si="696"/>
        <v>45.363719047619099</v>
      </c>
      <c r="AE306" s="293">
        <f t="shared" ca="1" si="696"/>
        <v>44.3100809523809</v>
      </c>
      <c r="AF306" s="1069">
        <f t="shared" ca="1" si="696"/>
        <v>44.352130677290802</v>
      </c>
      <c r="AG306" s="293">
        <f t="shared" ca="1" si="696"/>
        <v>48.053490163934399</v>
      </c>
      <c r="AH306" s="293">
        <f t="shared" ca="1" si="696"/>
        <v>51.554920634920599</v>
      </c>
      <c r="AI306" s="293">
        <f t="shared" ca="1" si="696"/>
        <v>52.7978125</v>
      </c>
      <c r="AJ306" s="293">
        <f t="shared" ca="1" si="696"/>
        <v>53.0784375</v>
      </c>
      <c r="AK306" s="1069">
        <f t="shared" ca="1" si="696"/>
        <v>51.442738095238099</v>
      </c>
      <c r="AL306" s="293">
        <f t="shared" ca="1" si="696"/>
        <v>45.702580645161298</v>
      </c>
      <c r="AM306" s="293">
        <f t="shared" ca="1" si="696"/>
        <v>36.1260317460317</v>
      </c>
      <c r="AN306" s="293">
        <f t="shared" ca="1" si="696"/>
        <v>36.415625</v>
      </c>
      <c r="AO306" s="293">
        <f t="shared" ca="1" si="696"/>
        <v>40.9378125</v>
      </c>
      <c r="AP306" s="1070">
        <f t="shared" ca="1" si="696"/>
        <v>39.7633201581028</v>
      </c>
      <c r="AQ306" s="293">
        <f t="shared" ca="1" si="696"/>
        <v>47.98</v>
      </c>
      <c r="AR306" s="293">
        <f t="shared" ca="1" si="696"/>
        <v>54.527301587301601</v>
      </c>
      <c r="AS306" s="293">
        <f t="shared" ca="1" si="696"/>
        <v>54.66890625</v>
      </c>
      <c r="AT306" s="293">
        <f t="shared" ca="1" si="696"/>
        <v>56.03921875</v>
      </c>
      <c r="AU306" s="1070">
        <f t="shared" ca="1" si="696"/>
        <v>53.362380952381002</v>
      </c>
      <c r="AV306" s="293">
        <f t="shared" ca="1" si="696"/>
        <v>62.607580645161299</v>
      </c>
      <c r="AW306" s="293">
        <f t="shared" ca="1" si="696"/>
        <v>59.0238709677419</v>
      </c>
      <c r="AX306" s="293">
        <f t="shared" ca="1" si="696"/>
        <v>58.8490625</v>
      </c>
      <c r="AY306" s="293">
        <f t="shared" ca="1" si="696"/>
        <v>66.950634920634897</v>
      </c>
      <c r="AZ306" s="1070">
        <f t="shared" ca="1" si="696"/>
        <v>61.854103585657398</v>
      </c>
      <c r="BA306" s="617">
        <f ca="1" t="shared" si="697" ref="BA306:BJ306">IF(INDEX(MO_SNA_IsHistoricalPeriod,1,COLUMN())=FALSE,0,INDEX(MO_SPT_StockAverage,1,COLUMN()))</f>
        <v>68.456612903225803</v>
      </c>
      <c r="BB306" s="617">
        <f t="shared" ca="1" si="697"/>
        <v>66.929354838709699</v>
      </c>
      <c r="BC306" s="293">
        <f ca="1">IF(INDEX(MO_SNA_IsHistoricalPeriod,1,COLUMN())=FALSE,0,INDEX(MO_SPT_StockAverage,1,COLUMN()))</f>
        <v>74.2339682539682</v>
      </c>
      <c r="BD306" s="617">
        <f t="shared" ca="1" si="697"/>
        <v>80.5833333333333</v>
      </c>
      <c r="BE306" s="1070">
        <f t="shared" ca="1" si="697"/>
        <v>72.589679999999902</v>
      </c>
      <c r="BF306" s="617">
        <f ca="1">IF(INDEX(MO_SNA_IsHistoricalPeriod,1,COLUMN())=FALSE,0,INDEX(MO_SPT_StockAverage,1,COLUMN()))</f>
        <v>81.979508196721298</v>
      </c>
      <c r="BG306" s="617">
        <f ca="1">IF(INDEX(MO_SNA_IsHistoricalPeriod,1,COLUMN())=FALSE,0,INDEX(MO_SPT_StockAverage,1,COLUMN()))</f>
        <v>85.973809523809607</v>
      </c>
      <c r="BH306" s="807">
        <f ca="1">IF(INDEX(MO_SNA_IsHistoricalPeriod,1,COLUMN())=FALSE,0,INDEX(MO_SPT_StockAverage,1,COLUMN()))</f>
        <v>101.62984375000001</v>
      </c>
      <c r="BI306" s="617">
        <f>IF(INDEX(MO_SNA_IsHistoricalPeriod,1,COLUMN())=FALSE,0,INDEX(MO_SPT_StockAverage,1,COLUMN()))</f>
        <v>0</v>
      </c>
      <c r="BJ306" s="1070">
        <f t="shared" si="697"/>
        <v>0</v>
      </c>
      <c r="BK306" s="617">
        <f t="shared" si="698" ref="BK306:BR306">IF(INDEX(MO_SNA_IsHistoricalPeriod,1,COLUMN())=FALSE,0,INDEX(MO_SPT_StockAverage,1,COLUMN()))</f>
        <v>0</v>
      </c>
      <c r="BL306" s="617">
        <f t="shared" si="698"/>
        <v>0</v>
      </c>
      <c r="BM306" s="617">
        <f t="shared" si="698"/>
        <v>0</v>
      </c>
      <c r="BN306" s="617">
        <f t="shared" si="698"/>
        <v>0</v>
      </c>
      <c r="BO306" s="1070">
        <f t="shared" si="698"/>
        <v>0</v>
      </c>
      <c r="BP306" s="1070">
        <f t="shared" si="698"/>
        <v>0</v>
      </c>
      <c r="BQ306" s="1070">
        <f t="shared" si="698"/>
        <v>0</v>
      </c>
      <c r="BR306" s="1070">
        <f t="shared" si="698"/>
        <v>0</v>
      </c>
      <c r="BS306" s="225"/>
    </row>
    <row r="307" spans="1:71" s="285" customFormat="1" ht="15" hidden="1" outlineLevel="1">
      <c r="A307" s="291" t="str">
        <f ca="1">"Stock EoP, "&amp;HP.TradeCurrency</f>
        <v>Stock EoP, USD</v>
      </c>
      <c r="B307" s="524"/>
      <c r="C307" s="1071">
        <f t="shared" si="699" ref="C307:AH307">IF(INDEX(MO_SNA_IsHistoricalPeriod,1,COLUMN())=FALSE,MO.LastPrice,INDEX(MO_SPT_StockEoP,1,COLUMN()))</f>
        <v>23.44</v>
      </c>
      <c r="D307" s="1071">
        <f t="shared" si="699"/>
        <v>28.045</v>
      </c>
      <c r="E307" s="1071">
        <f t="shared" si="699"/>
        <v>21.63</v>
      </c>
      <c r="F307" s="1071">
        <f t="shared" si="699"/>
        <v>26.125</v>
      </c>
      <c r="G307" s="1071">
        <f t="shared" si="699"/>
        <v>33.345</v>
      </c>
      <c r="H307" s="592">
        <f t="shared" si="699"/>
        <v>31.33</v>
      </c>
      <c r="I307" s="592">
        <f t="shared" si="699"/>
        <v>31.36</v>
      </c>
      <c r="J307" s="592">
        <f t="shared" si="699"/>
        <v>29.235</v>
      </c>
      <c r="K307" s="592">
        <f t="shared" si="699"/>
        <v>30.99</v>
      </c>
      <c r="L307" s="1071">
        <f t="shared" si="699"/>
        <v>30.99</v>
      </c>
      <c r="M307" s="592">
        <f t="shared" si="699"/>
        <v>32.10</v>
      </c>
      <c r="N307" s="592">
        <f t="shared" si="699"/>
        <v>30.72</v>
      </c>
      <c r="O307" s="592">
        <f t="shared" si="699"/>
        <v>28.86</v>
      </c>
      <c r="P307" s="592">
        <f t="shared" si="699"/>
        <v>30.26</v>
      </c>
      <c r="Q307" s="1071">
        <f t="shared" si="699"/>
        <v>30.26</v>
      </c>
      <c r="R307" s="592">
        <f t="shared" si="699"/>
        <v>31.865</v>
      </c>
      <c r="S307" s="592">
        <f t="shared" si="699"/>
        <v>35.04</v>
      </c>
      <c r="T307" s="592">
        <f t="shared" si="699"/>
        <v>35.78</v>
      </c>
      <c r="U307" s="592">
        <f t="shared" si="699"/>
        <v>34.799999999999997</v>
      </c>
      <c r="V307" s="1071">
        <f t="shared" si="699"/>
        <v>34.799999999999997</v>
      </c>
      <c r="W307" s="592">
        <f t="shared" si="699"/>
        <v>36.159999999999997</v>
      </c>
      <c r="X307" s="592">
        <f t="shared" si="699"/>
        <v>38.799999999999997</v>
      </c>
      <c r="Y307" s="592">
        <f t="shared" si="699"/>
        <v>40.695</v>
      </c>
      <c r="Z307" s="592">
        <f t="shared" si="699"/>
        <v>43.89</v>
      </c>
      <c r="AA307" s="1071">
        <f t="shared" si="699"/>
        <v>43.89</v>
      </c>
      <c r="AB307" s="592">
        <f t="shared" si="699"/>
        <v>43.76</v>
      </c>
      <c r="AC307" s="592">
        <f t="shared" si="699"/>
        <v>43.02</v>
      </c>
      <c r="AD307" s="592">
        <f t="shared" si="699"/>
        <v>47.07</v>
      </c>
      <c r="AE307" s="592">
        <f t="shared" si="699"/>
        <v>44.95</v>
      </c>
      <c r="AF307" s="1071">
        <f t="shared" si="699"/>
        <v>44.95</v>
      </c>
      <c r="AG307" s="592">
        <f t="shared" si="699"/>
        <v>50</v>
      </c>
      <c r="AH307" s="592">
        <f t="shared" si="699"/>
        <v>54.81</v>
      </c>
      <c r="AI307" s="592">
        <f t="shared" si="700" ref="AI307:BE307">IF(INDEX(MO_SNA_IsHistoricalPeriod,1,COLUMN())=FALSE,MO.LastPrice,INDEX(MO_SPT_StockEoP,1,COLUMN()))</f>
        <v>51.89</v>
      </c>
      <c r="AJ307" s="592">
        <f t="shared" si="700"/>
        <v>52.74</v>
      </c>
      <c r="AK307" s="1071">
        <f t="shared" si="700"/>
        <v>52.74</v>
      </c>
      <c r="AL307" s="592">
        <f t="shared" si="700"/>
        <v>36.26</v>
      </c>
      <c r="AM307" s="592">
        <f t="shared" si="700"/>
        <v>35.43</v>
      </c>
      <c r="AN307" s="592">
        <f t="shared" si="700"/>
        <v>36.020000000000003</v>
      </c>
      <c r="AO307" s="592">
        <f t="shared" si="700"/>
        <v>44.01</v>
      </c>
      <c r="AP307" s="1072">
        <f t="shared" si="700"/>
        <v>44.01</v>
      </c>
      <c r="AQ307" s="592">
        <f t="shared" si="700"/>
        <v>51.83</v>
      </c>
      <c r="AR307" s="592">
        <f t="shared" si="700"/>
        <v>53.55</v>
      </c>
      <c r="AS307" s="592">
        <f t="shared" si="700"/>
        <v>52.74</v>
      </c>
      <c r="AT307" s="592">
        <f t="shared" si="700"/>
        <v>58.56</v>
      </c>
      <c r="AU307" s="1072">
        <f t="shared" si="700"/>
        <v>58.56</v>
      </c>
      <c r="AV307" s="592">
        <f t="shared" si="700"/>
        <v>65.50</v>
      </c>
      <c r="AW307" s="592">
        <f t="shared" si="700"/>
        <v>55.46</v>
      </c>
      <c r="AX307" s="592">
        <f t="shared" si="700"/>
        <v>56.58</v>
      </c>
      <c r="AY307" s="592">
        <f t="shared" si="700"/>
        <v>71.94</v>
      </c>
      <c r="AZ307" s="1072">
        <f t="shared" si="700"/>
        <v>71.94</v>
      </c>
      <c r="BA307" s="618">
        <f>IF(INDEX(MO_SNA_IsHistoricalPeriod,1,COLUMN())=FALSE,MO.LastPrice,INDEX(MO_SPT_StockEoP,1,COLUMN()))</f>
        <v>64.290000000000006</v>
      </c>
      <c r="BB307" s="618">
        <f>IF(INDEX(MO_SNA_IsHistoricalPeriod,1,COLUMN())=FALSE,MO.LastPrice,INDEX(MO_SPT_StockEoP,1,COLUMN()))</f>
        <v>69.120000000000005</v>
      </c>
      <c r="BC307" s="592">
        <f>IF(INDEX(MO_SNA_IsHistoricalPeriod,1,COLUMN())=FALSE,MO.LastPrice,INDEX(MO_SPT_StockEoP,1,COLUMN()))</f>
        <v>76.75</v>
      </c>
      <c r="BD307" s="618">
        <f>IF(INDEX(MO_SNA_IsHistoricalPeriod,1,COLUMN())=FALSE,MO.LastPrice,INDEX(MO_SPT_StockEoP,1,COLUMN()))</f>
        <v>82.50</v>
      </c>
      <c r="BE307" s="1072">
        <f t="shared" si="700"/>
        <v>82.50</v>
      </c>
      <c r="BF307" s="618">
        <f t="shared" si="701" ref="BF307:BR307">IF(INDEX(MO_SNA_IsHistoricalPeriod,1,COLUMN())=FALSE,MO.LastPrice,INDEX(MO_SPT_StockEoP,1,COLUMN()))</f>
        <v>85.86</v>
      </c>
      <c r="BG307" s="618">
        <f t="shared" si="701"/>
        <v>89.31</v>
      </c>
      <c r="BH307" s="808">
        <f>IF(INDEX(MO_SNA_IsHistoricalPeriod,1,COLUMN())=FALSE,MO.LastPrice,INDEX(MO_SPT_StockEoP,1,COLUMN()))</f>
        <v>110.59</v>
      </c>
      <c r="BI307" s="618">
        <f t="shared" ca="1" si="701"/>
        <v>104.51000000000001</v>
      </c>
      <c r="BJ307" s="1072">
        <f t="shared" ca="1" si="701"/>
        <v>104.51000000000001</v>
      </c>
      <c r="BK307" s="618">
        <f t="shared" ca="1" si="701"/>
        <v>104.51000000000001</v>
      </c>
      <c r="BL307" s="618">
        <f t="shared" ca="1" si="701"/>
        <v>104.51000000000001</v>
      </c>
      <c r="BM307" s="618">
        <f t="shared" ca="1" si="701"/>
        <v>104.51000000000001</v>
      </c>
      <c r="BN307" s="618">
        <f t="shared" ca="1" si="701"/>
        <v>104.51000000000001</v>
      </c>
      <c r="BO307" s="1072">
        <f t="shared" ca="1" si="701"/>
        <v>104.51000000000001</v>
      </c>
      <c r="BP307" s="1072">
        <f t="shared" ca="1" si="701"/>
        <v>104.51000000000001</v>
      </c>
      <c r="BQ307" s="1072">
        <f t="shared" ca="1" si="701"/>
        <v>104.51000000000001</v>
      </c>
      <c r="BR307" s="1072">
        <f t="shared" ca="1" si="701"/>
        <v>104.51000000000001</v>
      </c>
      <c r="BS307" s="225"/>
    </row>
    <row r="308" spans="1:71" s="289" customFormat="1" ht="15" hidden="1" outlineLevel="1">
      <c r="A308" s="295" t="str">
        <f ca="1">"Average FX Rate, "&amp;HP.TradeCurrency&amp;"/"&amp;MO.ReportCurrency</f>
        <v>Average FX Rate, USD/USD</v>
      </c>
      <c r="B308" s="525"/>
      <c r="C308" s="1073">
        <f ca="1" t="shared" si="702" ref="C308:AZ308">IF(INDEX(MO_SPT_FXAverage,1,COLUMN())=0,1,INDEX(MO_SPT_FXAverage,1,COLUMN()))</f>
        <v>1</v>
      </c>
      <c r="D308" s="1073">
        <f t="shared" ca="1" si="702"/>
        <v>1</v>
      </c>
      <c r="E308" s="1073">
        <f t="shared" ca="1" si="702"/>
        <v>1</v>
      </c>
      <c r="F308" s="1073">
        <f t="shared" ca="1" si="702"/>
        <v>1</v>
      </c>
      <c r="G308" s="1073">
        <f t="shared" ca="1" si="702"/>
        <v>1</v>
      </c>
      <c r="H308" s="595">
        <f t="shared" ca="1" si="702"/>
        <v>1</v>
      </c>
      <c r="I308" s="595">
        <f t="shared" ca="1" si="702"/>
        <v>1</v>
      </c>
      <c r="J308" s="595">
        <f t="shared" ca="1" si="702"/>
        <v>1</v>
      </c>
      <c r="K308" s="595">
        <f t="shared" ca="1" si="702"/>
        <v>1</v>
      </c>
      <c r="L308" s="1073">
        <f t="shared" ca="1" si="702"/>
        <v>1</v>
      </c>
      <c r="M308" s="595">
        <f t="shared" ca="1" si="702"/>
        <v>1</v>
      </c>
      <c r="N308" s="595">
        <f t="shared" ca="1" si="702"/>
        <v>1</v>
      </c>
      <c r="O308" s="595">
        <f t="shared" ca="1" si="702"/>
        <v>1</v>
      </c>
      <c r="P308" s="595">
        <f t="shared" ca="1" si="702"/>
        <v>1</v>
      </c>
      <c r="Q308" s="1073">
        <f t="shared" ca="1" si="702"/>
        <v>1</v>
      </c>
      <c r="R308" s="595">
        <f t="shared" ca="1" si="702"/>
        <v>1</v>
      </c>
      <c r="S308" s="595">
        <f t="shared" ca="1" si="702"/>
        <v>1</v>
      </c>
      <c r="T308" s="595">
        <f t="shared" ca="1" si="702"/>
        <v>1</v>
      </c>
      <c r="U308" s="595">
        <f t="shared" ca="1" si="702"/>
        <v>1</v>
      </c>
      <c r="V308" s="1073">
        <f t="shared" ca="1" si="702"/>
        <v>1</v>
      </c>
      <c r="W308" s="595">
        <f t="shared" ca="1" si="702"/>
        <v>1</v>
      </c>
      <c r="X308" s="595">
        <f t="shared" ca="1" si="702"/>
        <v>1</v>
      </c>
      <c r="Y308" s="595">
        <f t="shared" ca="1" si="702"/>
        <v>1</v>
      </c>
      <c r="Z308" s="595">
        <f t="shared" ca="1" si="702"/>
        <v>1</v>
      </c>
      <c r="AA308" s="1073">
        <f t="shared" ca="1" si="702"/>
        <v>1</v>
      </c>
      <c r="AB308" s="595">
        <f t="shared" ca="1" si="702"/>
        <v>1</v>
      </c>
      <c r="AC308" s="595">
        <f t="shared" ca="1" si="702"/>
        <v>1</v>
      </c>
      <c r="AD308" s="595">
        <f t="shared" ca="1" si="702"/>
        <v>1</v>
      </c>
      <c r="AE308" s="595">
        <f t="shared" ca="1" si="702"/>
        <v>1</v>
      </c>
      <c r="AF308" s="1073">
        <f t="shared" ca="1" si="702"/>
        <v>1</v>
      </c>
      <c r="AG308" s="595">
        <f t="shared" ca="1" si="702"/>
        <v>1</v>
      </c>
      <c r="AH308" s="595">
        <f t="shared" ca="1" si="702"/>
        <v>1</v>
      </c>
      <c r="AI308" s="595">
        <f t="shared" ca="1" si="702"/>
        <v>1</v>
      </c>
      <c r="AJ308" s="595">
        <f t="shared" ca="1" si="702"/>
        <v>1</v>
      </c>
      <c r="AK308" s="1073">
        <f t="shared" ca="1" si="702"/>
        <v>1</v>
      </c>
      <c r="AL308" s="595">
        <f t="shared" ca="1" si="702"/>
        <v>1</v>
      </c>
      <c r="AM308" s="595">
        <f t="shared" ca="1" si="702"/>
        <v>1</v>
      </c>
      <c r="AN308" s="595">
        <f t="shared" ca="1" si="702"/>
        <v>1</v>
      </c>
      <c r="AO308" s="595">
        <f t="shared" ca="1" si="702"/>
        <v>1</v>
      </c>
      <c r="AP308" s="1074">
        <f t="shared" ca="1" si="702"/>
        <v>1</v>
      </c>
      <c r="AQ308" s="595">
        <f t="shared" ca="1" si="702"/>
        <v>1</v>
      </c>
      <c r="AR308" s="595">
        <f t="shared" ca="1" si="702"/>
        <v>1</v>
      </c>
      <c r="AS308" s="595">
        <f t="shared" ca="1" si="702"/>
        <v>1</v>
      </c>
      <c r="AT308" s="595">
        <f t="shared" ca="1" si="702"/>
        <v>1</v>
      </c>
      <c r="AU308" s="1074">
        <f t="shared" ca="1" si="702"/>
        <v>1</v>
      </c>
      <c r="AV308" s="595">
        <f t="shared" ca="1" si="702"/>
        <v>1</v>
      </c>
      <c r="AW308" s="595">
        <f t="shared" ca="1" si="702"/>
        <v>1</v>
      </c>
      <c r="AX308" s="595">
        <f t="shared" ca="1" si="702"/>
        <v>1</v>
      </c>
      <c r="AY308" s="595">
        <f t="shared" ca="1" si="702"/>
        <v>1</v>
      </c>
      <c r="AZ308" s="1074">
        <f t="shared" ca="1" si="702"/>
        <v>1</v>
      </c>
      <c r="BA308" s="619">
        <f ca="1" t="shared" si="703" ref="BA308:BJ308">IF(INDEX(MO_SPT_FXAverage,1,COLUMN())=0,1,INDEX(MO_SPT_FXAverage,1,COLUMN()))</f>
        <v>1</v>
      </c>
      <c r="BB308" s="619">
        <f t="shared" ca="1" si="703"/>
        <v>1</v>
      </c>
      <c r="BC308" s="595">
        <f ca="1">IF(INDEX(MO_SPT_FXAverage,1,COLUMN())=0,1,INDEX(MO_SPT_FXAverage,1,COLUMN()))</f>
        <v>1</v>
      </c>
      <c r="BD308" s="619">
        <f t="shared" ca="1" si="703"/>
        <v>1</v>
      </c>
      <c r="BE308" s="1074">
        <f t="shared" ca="1" si="703"/>
        <v>1</v>
      </c>
      <c r="BF308" s="619">
        <f ca="1">IF(INDEX(MO_SPT_FXAverage,1,COLUMN())=0,1,INDEX(MO_SPT_FXAverage,1,COLUMN()))</f>
        <v>1</v>
      </c>
      <c r="BG308" s="619">
        <f ca="1">IF(INDEX(MO_SPT_FXAverage,1,COLUMN())=0,1,INDEX(MO_SPT_FXAverage,1,COLUMN()))</f>
        <v>1</v>
      </c>
      <c r="BH308" s="809">
        <f ca="1">IF(INDEX(MO_SPT_FXAverage,1,COLUMN())=0,1,INDEX(MO_SPT_FXAverage,1,COLUMN()))</f>
        <v>1</v>
      </c>
      <c r="BI308" s="619">
        <f ca="1">IF(INDEX(MO_SPT_FXAverage,1,COLUMN())=0,1,INDEX(MO_SPT_FXAverage,1,COLUMN()))</f>
        <v>1</v>
      </c>
      <c r="BJ308" s="1074">
        <f t="shared" ca="1" si="703"/>
        <v>1</v>
      </c>
      <c r="BK308" s="619">
        <f ca="1" t="shared" si="704" ref="BK308:BR308">IF(INDEX(MO_SPT_FXAverage,1,COLUMN())=0,1,INDEX(MO_SPT_FXAverage,1,COLUMN()))</f>
        <v>1</v>
      </c>
      <c r="BL308" s="619">
        <f t="shared" ca="1" si="704"/>
        <v>1</v>
      </c>
      <c r="BM308" s="619">
        <f t="shared" ca="1" si="704"/>
        <v>1</v>
      </c>
      <c r="BN308" s="619">
        <f t="shared" ca="1" si="704"/>
        <v>1</v>
      </c>
      <c r="BO308" s="1074">
        <f t="shared" ca="1" si="704"/>
        <v>1</v>
      </c>
      <c r="BP308" s="1074">
        <f t="shared" ca="1" si="704"/>
        <v>1</v>
      </c>
      <c r="BQ308" s="1074">
        <f t="shared" ca="1" si="704"/>
        <v>1</v>
      </c>
      <c r="BR308" s="1074">
        <f t="shared" ca="1" si="704"/>
        <v>1</v>
      </c>
      <c r="BS308" s="288"/>
    </row>
    <row r="309" spans="1:71" s="289" customFormat="1" ht="15" hidden="1" outlineLevel="1">
      <c r="A309" s="295" t="str">
        <f ca="1">"EoP FX Rate, "&amp;HP.TradeCurrency&amp;"/"&amp;MO.ReportCurrency</f>
        <v>EoP FX Rate, USD/USD</v>
      </c>
      <c r="B309" s="525"/>
      <c r="C309" s="1073">
        <f t="shared" si="705" ref="C309:AH309">IF(INDEX(MO_SNA_IsHistoricalPeriod,1,COLUMN())=FALSE,HP.MRFX,INDEX(MO_SPT_FXEoP,1,COLUMN()))</f>
        <v>1</v>
      </c>
      <c r="D309" s="1073">
        <f t="shared" si="705"/>
        <v>1</v>
      </c>
      <c r="E309" s="1073">
        <f t="shared" si="705"/>
        <v>1</v>
      </c>
      <c r="F309" s="1073">
        <f t="shared" si="705"/>
        <v>1</v>
      </c>
      <c r="G309" s="1073">
        <f t="shared" si="705"/>
        <v>1</v>
      </c>
      <c r="H309" s="595">
        <f t="shared" si="705"/>
        <v>1</v>
      </c>
      <c r="I309" s="595">
        <f t="shared" si="705"/>
        <v>1</v>
      </c>
      <c r="J309" s="595">
        <f t="shared" si="705"/>
        <v>1</v>
      </c>
      <c r="K309" s="595">
        <f t="shared" si="705"/>
        <v>1</v>
      </c>
      <c r="L309" s="1073">
        <f t="shared" si="705"/>
        <v>1</v>
      </c>
      <c r="M309" s="595">
        <f t="shared" si="705"/>
        <v>1</v>
      </c>
      <c r="N309" s="595">
        <f t="shared" si="705"/>
        <v>1</v>
      </c>
      <c r="O309" s="595">
        <f t="shared" si="705"/>
        <v>1</v>
      </c>
      <c r="P309" s="595">
        <f t="shared" si="705"/>
        <v>1</v>
      </c>
      <c r="Q309" s="1073">
        <f t="shared" si="705"/>
        <v>1</v>
      </c>
      <c r="R309" s="595">
        <f t="shared" si="705"/>
        <v>1</v>
      </c>
      <c r="S309" s="595">
        <f t="shared" si="705"/>
        <v>1</v>
      </c>
      <c r="T309" s="595">
        <f t="shared" si="705"/>
        <v>1</v>
      </c>
      <c r="U309" s="595">
        <f t="shared" si="705"/>
        <v>1</v>
      </c>
      <c r="V309" s="1073">
        <f t="shared" si="705"/>
        <v>1</v>
      </c>
      <c r="W309" s="595">
        <f t="shared" si="705"/>
        <v>1</v>
      </c>
      <c r="X309" s="595">
        <f t="shared" si="705"/>
        <v>1</v>
      </c>
      <c r="Y309" s="595">
        <f t="shared" si="705"/>
        <v>1</v>
      </c>
      <c r="Z309" s="595">
        <f t="shared" si="705"/>
        <v>1</v>
      </c>
      <c r="AA309" s="1073">
        <f t="shared" si="705"/>
        <v>1</v>
      </c>
      <c r="AB309" s="595">
        <f t="shared" si="705"/>
        <v>1</v>
      </c>
      <c r="AC309" s="595">
        <f t="shared" si="705"/>
        <v>1</v>
      </c>
      <c r="AD309" s="595">
        <f t="shared" si="705"/>
        <v>1</v>
      </c>
      <c r="AE309" s="595">
        <f t="shared" si="705"/>
        <v>1</v>
      </c>
      <c r="AF309" s="1073">
        <f t="shared" si="705"/>
        <v>1</v>
      </c>
      <c r="AG309" s="595">
        <f t="shared" si="705"/>
        <v>1</v>
      </c>
      <c r="AH309" s="595">
        <f t="shared" si="705"/>
        <v>1</v>
      </c>
      <c r="AI309" s="595">
        <f t="shared" si="706" ref="AI309:BE309">IF(INDEX(MO_SNA_IsHistoricalPeriod,1,COLUMN())=FALSE,HP.MRFX,INDEX(MO_SPT_FXEoP,1,COLUMN()))</f>
        <v>1</v>
      </c>
      <c r="AJ309" s="595">
        <f t="shared" si="706"/>
        <v>1</v>
      </c>
      <c r="AK309" s="1073">
        <f t="shared" si="706"/>
        <v>1</v>
      </c>
      <c r="AL309" s="595">
        <f t="shared" si="706"/>
        <v>1</v>
      </c>
      <c r="AM309" s="595">
        <f t="shared" si="706"/>
        <v>1</v>
      </c>
      <c r="AN309" s="595">
        <f t="shared" si="706"/>
        <v>1</v>
      </c>
      <c r="AO309" s="595">
        <f t="shared" si="706"/>
        <v>1</v>
      </c>
      <c r="AP309" s="1074">
        <f t="shared" si="706"/>
        <v>1</v>
      </c>
      <c r="AQ309" s="595">
        <f t="shared" si="706"/>
        <v>1</v>
      </c>
      <c r="AR309" s="595">
        <f t="shared" si="706"/>
        <v>1</v>
      </c>
      <c r="AS309" s="595">
        <f t="shared" si="706"/>
        <v>1</v>
      </c>
      <c r="AT309" s="595">
        <f t="shared" si="706"/>
        <v>1</v>
      </c>
      <c r="AU309" s="1074">
        <f t="shared" si="706"/>
        <v>1</v>
      </c>
      <c r="AV309" s="595">
        <f t="shared" si="706"/>
        <v>1</v>
      </c>
      <c r="AW309" s="595">
        <f t="shared" si="706"/>
        <v>1</v>
      </c>
      <c r="AX309" s="595">
        <f t="shared" si="706"/>
        <v>1</v>
      </c>
      <c r="AY309" s="595">
        <f t="shared" si="706"/>
        <v>1</v>
      </c>
      <c r="AZ309" s="1074">
        <f t="shared" si="706"/>
        <v>1</v>
      </c>
      <c r="BA309" s="619">
        <f>IF(INDEX(MO_SNA_IsHistoricalPeriod,1,COLUMN())=FALSE,HP.MRFX,INDEX(MO_SPT_FXEoP,1,COLUMN()))</f>
        <v>1</v>
      </c>
      <c r="BB309" s="619">
        <f>IF(INDEX(MO_SNA_IsHistoricalPeriod,1,COLUMN())=FALSE,HP.MRFX,INDEX(MO_SPT_FXEoP,1,COLUMN()))</f>
        <v>1</v>
      </c>
      <c r="BC309" s="595">
        <f>IF(INDEX(MO_SNA_IsHistoricalPeriod,1,COLUMN())=FALSE,HP.MRFX,INDEX(MO_SPT_FXEoP,1,COLUMN()))</f>
        <v>1</v>
      </c>
      <c r="BD309" s="619">
        <f>IF(INDEX(MO_SNA_IsHistoricalPeriod,1,COLUMN())=FALSE,HP.MRFX,INDEX(MO_SPT_FXEoP,1,COLUMN()))</f>
        <v>1</v>
      </c>
      <c r="BE309" s="1074">
        <f t="shared" si="706"/>
        <v>1</v>
      </c>
      <c r="BF309" s="619">
        <f t="shared" si="707" ref="BF309:BR309">IF(INDEX(MO_SNA_IsHistoricalPeriod,1,COLUMN())=FALSE,HP.MRFX,INDEX(MO_SPT_FXEoP,1,COLUMN()))</f>
        <v>1</v>
      </c>
      <c r="BG309" s="619">
        <f t="shared" si="707"/>
        <v>1</v>
      </c>
      <c r="BH309" s="809">
        <f>IF(INDEX(MO_SNA_IsHistoricalPeriod,1,COLUMN())=FALSE,HP.MRFX,INDEX(MO_SPT_FXEoP,1,COLUMN()))</f>
        <v>1</v>
      </c>
      <c r="BI309" s="619">
        <f t="shared" ca="1" si="707"/>
        <v>1</v>
      </c>
      <c r="BJ309" s="1074">
        <f t="shared" ca="1" si="707"/>
        <v>1</v>
      </c>
      <c r="BK309" s="619">
        <f t="shared" ca="1" si="707"/>
        <v>1</v>
      </c>
      <c r="BL309" s="619">
        <f t="shared" ca="1" si="707"/>
        <v>1</v>
      </c>
      <c r="BM309" s="619">
        <f t="shared" ca="1" si="707"/>
        <v>1</v>
      </c>
      <c r="BN309" s="619">
        <f t="shared" ca="1" si="707"/>
        <v>1</v>
      </c>
      <c r="BO309" s="1074">
        <f t="shared" ca="1" si="707"/>
        <v>1</v>
      </c>
      <c r="BP309" s="1074">
        <f t="shared" ca="1" si="707"/>
        <v>1</v>
      </c>
      <c r="BQ309" s="1074">
        <f t="shared" ca="1" si="707"/>
        <v>1</v>
      </c>
      <c r="BR309" s="1074">
        <f t="shared" ca="1" si="707"/>
        <v>1</v>
      </c>
      <c r="BS309" s="288"/>
    </row>
    <row r="310" spans="1:71" s="285" customFormat="1" ht="15" hidden="1" outlineLevel="1">
      <c r="A310" s="291" t="str">
        <f ca="1">"Stock Price (Trading Cur.) - "&amp;MO.ValuationToggle&amp;", "&amp;HP.TradeCurrency</f>
        <v>Stock Price (Trading Cur.) - EoP, USD</v>
      </c>
      <c r="B310" s="524"/>
      <c r="C310" s="1069">
        <f t="shared" si="708" ref="C310:AH310">IF(INDEX(MO_SNA_IsHistoricalPeriod,1,COLUMN())=FALSE,MO.LastPrice,CHOOSE(VLOOKUP(MO.ValuationToggle,tb_ValuationToggle,COLUMNS(tb_ValuationToggle),FALSE),C304,C305,C306,C307))</f>
        <v>23.44</v>
      </c>
      <c r="D310" s="1069">
        <f t="shared" si="708"/>
        <v>28.045</v>
      </c>
      <c r="E310" s="1069">
        <f t="shared" si="708"/>
        <v>21.63</v>
      </c>
      <c r="F310" s="1069">
        <f t="shared" si="708"/>
        <v>26.125</v>
      </c>
      <c r="G310" s="1069">
        <f t="shared" si="708"/>
        <v>33.345</v>
      </c>
      <c r="H310" s="293">
        <f t="shared" si="708"/>
        <v>31.33</v>
      </c>
      <c r="I310" s="293">
        <f t="shared" si="708"/>
        <v>31.36</v>
      </c>
      <c r="J310" s="293">
        <f t="shared" si="708"/>
        <v>29.235</v>
      </c>
      <c r="K310" s="293">
        <f t="shared" si="708"/>
        <v>30.99</v>
      </c>
      <c r="L310" s="1069">
        <f t="shared" si="708"/>
        <v>30.99</v>
      </c>
      <c r="M310" s="293">
        <f t="shared" si="708"/>
        <v>32.10</v>
      </c>
      <c r="N310" s="293">
        <f t="shared" si="708"/>
        <v>30.72</v>
      </c>
      <c r="O310" s="293">
        <f t="shared" si="708"/>
        <v>28.86</v>
      </c>
      <c r="P310" s="293">
        <f t="shared" si="708"/>
        <v>30.26</v>
      </c>
      <c r="Q310" s="1069">
        <f t="shared" si="708"/>
        <v>30.26</v>
      </c>
      <c r="R310" s="293">
        <f t="shared" si="708"/>
        <v>31.865</v>
      </c>
      <c r="S310" s="293">
        <f t="shared" si="708"/>
        <v>35.04</v>
      </c>
      <c r="T310" s="293">
        <f t="shared" si="708"/>
        <v>35.78</v>
      </c>
      <c r="U310" s="293">
        <f t="shared" si="708"/>
        <v>34.799999999999997</v>
      </c>
      <c r="V310" s="1069">
        <f t="shared" si="708"/>
        <v>34.799999999999997</v>
      </c>
      <c r="W310" s="293">
        <f t="shared" si="708"/>
        <v>36.159999999999997</v>
      </c>
      <c r="X310" s="293">
        <f t="shared" si="708"/>
        <v>38.799999999999997</v>
      </c>
      <c r="Y310" s="293">
        <f t="shared" si="708"/>
        <v>40.695</v>
      </c>
      <c r="Z310" s="293">
        <f t="shared" si="708"/>
        <v>43.89</v>
      </c>
      <c r="AA310" s="1069">
        <f t="shared" si="708"/>
        <v>43.89</v>
      </c>
      <c r="AB310" s="293">
        <f t="shared" si="708"/>
        <v>43.76</v>
      </c>
      <c r="AC310" s="293">
        <f t="shared" si="708"/>
        <v>43.02</v>
      </c>
      <c r="AD310" s="293">
        <f t="shared" si="708"/>
        <v>47.07</v>
      </c>
      <c r="AE310" s="293">
        <f t="shared" si="708"/>
        <v>44.95</v>
      </c>
      <c r="AF310" s="1069">
        <f t="shared" si="708"/>
        <v>44.95</v>
      </c>
      <c r="AG310" s="293">
        <f t="shared" si="708"/>
        <v>50</v>
      </c>
      <c r="AH310" s="293">
        <f t="shared" si="708"/>
        <v>54.81</v>
      </c>
      <c r="AI310" s="293">
        <f t="shared" si="709" ref="AI310:BJ310">IF(INDEX(MO_SNA_IsHistoricalPeriod,1,COLUMN())=FALSE,MO.LastPrice,CHOOSE(VLOOKUP(MO.ValuationToggle,tb_ValuationToggle,COLUMNS(tb_ValuationToggle),FALSE),AI304,AI305,AI306,AI307))</f>
        <v>51.89</v>
      </c>
      <c r="AJ310" s="293">
        <f t="shared" si="709"/>
        <v>52.74</v>
      </c>
      <c r="AK310" s="1069">
        <f t="shared" si="709"/>
        <v>52.74</v>
      </c>
      <c r="AL310" s="293">
        <f t="shared" si="709"/>
        <v>36.26</v>
      </c>
      <c r="AM310" s="293">
        <f t="shared" si="709"/>
        <v>35.43</v>
      </c>
      <c r="AN310" s="293">
        <f t="shared" si="709"/>
        <v>36.020000000000003</v>
      </c>
      <c r="AO310" s="293">
        <f t="shared" si="709"/>
        <v>44.01</v>
      </c>
      <c r="AP310" s="1070">
        <f t="shared" si="709"/>
        <v>44.01</v>
      </c>
      <c r="AQ310" s="293">
        <f t="shared" si="709"/>
        <v>51.83</v>
      </c>
      <c r="AR310" s="293">
        <f t="shared" si="709"/>
        <v>53.55</v>
      </c>
      <c r="AS310" s="293">
        <f t="shared" si="709"/>
        <v>52.74</v>
      </c>
      <c r="AT310" s="293">
        <f t="shared" si="709"/>
        <v>58.56</v>
      </c>
      <c r="AU310" s="1070">
        <f t="shared" si="709"/>
        <v>58.56</v>
      </c>
      <c r="AV310" s="293">
        <f t="shared" si="709"/>
        <v>65.50</v>
      </c>
      <c r="AW310" s="293">
        <f t="shared" si="709"/>
        <v>55.46</v>
      </c>
      <c r="AX310" s="293">
        <f t="shared" si="709"/>
        <v>56.58</v>
      </c>
      <c r="AY310" s="293">
        <f t="shared" si="709"/>
        <v>71.94</v>
      </c>
      <c r="AZ310" s="1070">
        <f t="shared" si="709"/>
        <v>71.94</v>
      </c>
      <c r="BA310" s="617">
        <f t="shared" si="709"/>
        <v>64.290000000000006</v>
      </c>
      <c r="BB310" s="617">
        <f t="shared" si="709"/>
        <v>69.120000000000005</v>
      </c>
      <c r="BC310" s="293">
        <f t="shared" si="709"/>
        <v>76.75</v>
      </c>
      <c r="BD310" s="617">
        <f t="shared" si="709"/>
        <v>82.50</v>
      </c>
      <c r="BE310" s="1070">
        <f t="shared" si="709"/>
        <v>82.50</v>
      </c>
      <c r="BF310" s="617">
        <f>IF(INDEX(MO_SNA_IsHistoricalPeriod,1,COLUMN())=FALSE,MO.LastPrice,CHOOSE(VLOOKUP(MO.ValuationToggle,tb_ValuationToggle,COLUMNS(tb_ValuationToggle),FALSE),BF304,BF305,BF306,BF307))</f>
        <v>85.86</v>
      </c>
      <c r="BG310" s="617">
        <f>IF(INDEX(MO_SNA_IsHistoricalPeriod,1,COLUMN())=FALSE,MO.LastPrice,CHOOSE(VLOOKUP(MO.ValuationToggle,tb_ValuationToggle,COLUMNS(tb_ValuationToggle),FALSE),BG304,BG305,BG306,BG307))</f>
        <v>89.31</v>
      </c>
      <c r="BH310" s="807">
        <f>IF(INDEX(MO_SNA_IsHistoricalPeriod,1,COLUMN())=FALSE,MO.LastPrice,CHOOSE(VLOOKUP(MO.ValuationToggle,tb_ValuationToggle,COLUMNS(tb_ValuationToggle),FALSE),BH304,BH305,BH306,BH307))</f>
        <v>110.59</v>
      </c>
      <c r="BI310" s="617">
        <f ca="1">IF(INDEX(MO_SNA_IsHistoricalPeriod,1,COLUMN())=FALSE,MO.LastPrice,CHOOSE(VLOOKUP(MO.ValuationToggle,tb_ValuationToggle,COLUMNS(tb_ValuationToggle),FALSE),BI304,BI305,BI306,BI307))</f>
        <v>104.51000000000001</v>
      </c>
      <c r="BJ310" s="1070">
        <f t="shared" ca="1" si="709"/>
        <v>104.51000000000001</v>
      </c>
      <c r="BK310" s="617">
        <f ca="1" t="shared" si="710" ref="BK310:BR310">IF(INDEX(MO_SNA_IsHistoricalPeriod,1,COLUMN())=FALSE,MO.LastPrice,CHOOSE(VLOOKUP(MO.ValuationToggle,tb_ValuationToggle,COLUMNS(tb_ValuationToggle),FALSE),BK304,BK305,BK306,BK307))</f>
        <v>104.51000000000001</v>
      </c>
      <c r="BL310" s="617">
        <f t="shared" ca="1" si="710"/>
        <v>104.51000000000001</v>
      </c>
      <c r="BM310" s="617">
        <f t="shared" ca="1" si="710"/>
        <v>104.51000000000001</v>
      </c>
      <c r="BN310" s="617">
        <f t="shared" ca="1" si="710"/>
        <v>104.51000000000001</v>
      </c>
      <c r="BO310" s="1070">
        <f t="shared" ca="1" si="710"/>
        <v>104.51000000000001</v>
      </c>
      <c r="BP310" s="1070">
        <f t="shared" ca="1" si="710"/>
        <v>104.51000000000001</v>
      </c>
      <c r="BQ310" s="1070">
        <f t="shared" ca="1" si="710"/>
        <v>104.51000000000001</v>
      </c>
      <c r="BR310" s="1070">
        <f t="shared" ca="1" si="710"/>
        <v>104.51000000000001</v>
      </c>
      <c r="BS310" s="225"/>
    </row>
    <row r="311" spans="1:71" s="223" customFormat="1" ht="15" collapsed="1">
      <c r="A311" s="526"/>
      <c r="B311" s="500"/>
      <c r="C311" s="999"/>
      <c r="D311" s="999"/>
      <c r="E311" s="999"/>
      <c r="F311" s="999"/>
      <c r="G311" s="999"/>
      <c r="H311" s="832"/>
      <c r="I311" s="832"/>
      <c r="J311" s="832"/>
      <c r="K311" s="832"/>
      <c r="L311" s="999"/>
      <c r="M311" s="832"/>
      <c r="N311" s="832"/>
      <c r="O311" s="832"/>
      <c r="P311" s="832"/>
      <c r="Q311" s="999"/>
      <c r="R311" s="832"/>
      <c r="S311" s="832"/>
      <c r="T311" s="832"/>
      <c r="U311" s="832"/>
      <c r="V311" s="999"/>
      <c r="W311" s="832"/>
      <c r="X311" s="832"/>
      <c r="Y311" s="832"/>
      <c r="Z311" s="832"/>
      <c r="AA311" s="999"/>
      <c r="AB311" s="832"/>
      <c r="AC311" s="832"/>
      <c r="AD311" s="832"/>
      <c r="AE311" s="832"/>
      <c r="AF311" s="999"/>
      <c r="AG311" s="832"/>
      <c r="AH311" s="832"/>
      <c r="AI311" s="832"/>
      <c r="AJ311" s="832"/>
      <c r="AK311" s="999"/>
      <c r="AL311" s="832"/>
      <c r="AM311" s="832"/>
      <c r="AN311" s="832"/>
      <c r="AO311" s="832"/>
      <c r="AP311" s="999"/>
      <c r="AQ311" s="832"/>
      <c r="AR311" s="832"/>
      <c r="AS311" s="832"/>
      <c r="AT311" s="832"/>
      <c r="AU311" s="999"/>
      <c r="AV311" s="832"/>
      <c r="AW311" s="832"/>
      <c r="AX311" s="832"/>
      <c r="AY311" s="832"/>
      <c r="AZ311" s="999"/>
      <c r="BA311" s="832"/>
      <c r="BB311" s="832"/>
      <c r="BC311" s="832"/>
      <c r="BD311" s="832"/>
      <c r="BE311" s="999"/>
      <c r="BF311" s="832"/>
      <c r="BG311" s="832"/>
      <c r="BH311" s="833"/>
      <c r="BI311" s="832"/>
      <c r="BJ311" s="999"/>
      <c r="BK311" s="832"/>
      <c r="BL311" s="832"/>
      <c r="BM311" s="832"/>
      <c r="BN311" s="832"/>
      <c r="BO311" s="999"/>
      <c r="BP311" s="999"/>
      <c r="BQ311" s="999"/>
      <c r="BR311" s="999"/>
      <c r="BS311" s="816"/>
    </row>
    <row r="312" spans="1:71" s="43" customFormat="1" ht="15">
      <c r="A312" s="812" t="s">
        <v>100</v>
      </c>
      <c r="B312" s="812"/>
      <c r="C312" s="828"/>
      <c r="D312" s="828"/>
      <c r="E312" s="828"/>
      <c r="F312" s="828"/>
      <c r="G312" s="828"/>
      <c r="H312" s="828"/>
      <c r="I312" s="828"/>
      <c r="J312" s="828"/>
      <c r="K312" s="828"/>
      <c r="L312" s="828"/>
      <c r="M312" s="828"/>
      <c r="N312" s="828"/>
      <c r="O312" s="828"/>
      <c r="P312" s="828"/>
      <c r="Q312" s="828"/>
      <c r="R312" s="828"/>
      <c r="S312" s="828"/>
      <c r="T312" s="828"/>
      <c r="U312" s="828"/>
      <c r="V312" s="828"/>
      <c r="W312" s="828"/>
      <c r="X312" s="828"/>
      <c r="Y312" s="828"/>
      <c r="Z312" s="828"/>
      <c r="AA312" s="828"/>
      <c r="AB312" s="828"/>
      <c r="AC312" s="828"/>
      <c r="AD312" s="828"/>
      <c r="AE312" s="828"/>
      <c r="AF312" s="828"/>
      <c r="AG312" s="828"/>
      <c r="AH312" s="828"/>
      <c r="AI312" s="828"/>
      <c r="AJ312" s="828"/>
      <c r="AK312" s="828"/>
      <c r="AL312" s="828"/>
      <c r="AM312" s="828"/>
      <c r="AN312" s="828"/>
      <c r="AO312" s="828"/>
      <c r="AP312" s="828"/>
      <c r="AQ312" s="828"/>
      <c r="AR312" s="828"/>
      <c r="AS312" s="828"/>
      <c r="AT312" s="828"/>
      <c r="AU312" s="828"/>
      <c r="AV312" s="828"/>
      <c r="AW312" s="828"/>
      <c r="AX312" s="828"/>
      <c r="AY312" s="828"/>
      <c r="AZ312" s="828"/>
      <c r="BA312" s="828"/>
      <c r="BB312" s="828"/>
      <c r="BC312" s="828"/>
      <c r="BD312" s="828"/>
      <c r="BE312" s="828"/>
      <c r="BF312" s="828"/>
      <c r="BG312" s="828"/>
      <c r="BH312" s="829"/>
      <c r="BI312" s="828"/>
      <c r="BJ312" s="828"/>
      <c r="BK312" s="828"/>
      <c r="BL312" s="828"/>
      <c r="BM312" s="828"/>
      <c r="BN312" s="828"/>
      <c r="BO312" s="828"/>
      <c r="BP312" s="828"/>
      <c r="BQ312" s="828"/>
      <c r="BR312" s="828"/>
      <c r="BS312" s="475"/>
    </row>
    <row r="313" spans="1:71" s="43" customFormat="1" ht="15" hidden="1" outlineLevel="1">
      <c r="A313" s="90" t="s">
        <v>101</v>
      </c>
      <c r="B313" s="502"/>
      <c r="C313" s="1018"/>
      <c r="D313" s="1018"/>
      <c r="E313" s="1018"/>
      <c r="F313" s="1018"/>
      <c r="G313" s="1018"/>
      <c r="H313" s="839"/>
      <c r="I313" s="839"/>
      <c r="J313" s="839"/>
      <c r="K313" s="839"/>
      <c r="L313" s="1018"/>
      <c r="M313" s="839"/>
      <c r="N313" s="839"/>
      <c r="O313" s="839"/>
      <c r="P313" s="839"/>
      <c r="Q313" s="1018"/>
      <c r="R313" s="839"/>
      <c r="S313" s="839"/>
      <c r="T313" s="839"/>
      <c r="U313" s="839"/>
      <c r="V313" s="1018"/>
      <c r="W313" s="839"/>
      <c r="X313" s="839"/>
      <c r="Y313" s="839"/>
      <c r="Z313" s="839"/>
      <c r="AA313" s="1018"/>
      <c r="AB313" s="839"/>
      <c r="AC313" s="839"/>
      <c r="AD313" s="839"/>
      <c r="AE313" s="839"/>
      <c r="AF313" s="1018"/>
      <c r="AG313" s="839"/>
      <c r="AH313" s="839"/>
      <c r="AI313" s="839"/>
      <c r="AJ313" s="839"/>
      <c r="AK313" s="1018"/>
      <c r="AL313" s="839"/>
      <c r="AM313" s="839"/>
      <c r="AN313" s="839"/>
      <c r="AO313" s="839"/>
      <c r="AP313" s="1018"/>
      <c r="AQ313" s="839"/>
      <c r="AR313" s="839"/>
      <c r="AS313" s="839"/>
      <c r="AT313" s="839"/>
      <c r="AU313" s="1018"/>
      <c r="AV313" s="839"/>
      <c r="AW313" s="839"/>
      <c r="AX313" s="839"/>
      <c r="AY313" s="839"/>
      <c r="AZ313" s="1018"/>
      <c r="BA313" s="839"/>
      <c r="BB313" s="839"/>
      <c r="BC313" s="839"/>
      <c r="BD313" s="839"/>
      <c r="BE313" s="1018"/>
      <c r="BF313" s="839"/>
      <c r="BG313" s="839"/>
      <c r="BH313" s="840"/>
      <c r="BI313" s="839"/>
      <c r="BJ313" s="1018"/>
      <c r="BK313" s="839"/>
      <c r="BL313" s="839"/>
      <c r="BM313" s="839"/>
      <c r="BN313" s="839"/>
      <c r="BO313" s="1018"/>
      <c r="BP313" s="1018"/>
      <c r="BQ313" s="1018"/>
      <c r="BR313" s="1018"/>
      <c r="BS313" s="475"/>
    </row>
    <row r="314" spans="1:71" s="224" customFormat="1" ht="15" hidden="1" outlineLevel="1">
      <c r="A314" s="424" t="s">
        <v>44</v>
      </c>
      <c r="B314" s="363"/>
      <c r="C314" s="1002">
        <v>1497</v>
      </c>
      <c r="D314" s="1002">
        <v>2344</v>
      </c>
      <c r="E314" s="1002">
        <v>1937</v>
      </c>
      <c r="F314" s="1002">
        <v>2866</v>
      </c>
      <c r="G314" s="1002">
        <v>3158</v>
      </c>
      <c r="H314" s="908">
        <v>732</v>
      </c>
      <c r="I314" s="908">
        <v>1542</v>
      </c>
      <c r="J314" s="908">
        <v>2248</v>
      </c>
      <c r="K314" s="426">
        <f>++L314</f>
        <v>2951</v>
      </c>
      <c r="L314" s="1002">
        <v>2951</v>
      </c>
      <c r="M314" s="908">
        <v>663</v>
      </c>
      <c r="N314" s="908">
        <v>1236</v>
      </c>
      <c r="O314" s="908">
        <v>1803</v>
      </c>
      <c r="P314" s="426">
        <f>++Q314</f>
        <v>2533</v>
      </c>
      <c r="Q314" s="1002">
        <v>2533</v>
      </c>
      <c r="R314" s="908">
        <v>731</v>
      </c>
      <c r="S314" s="908">
        <v>1279</v>
      </c>
      <c r="T314" s="908">
        <v>1908</v>
      </c>
      <c r="U314" s="426">
        <f>++V314</f>
        <v>2659</v>
      </c>
      <c r="V314" s="1002">
        <v>2659</v>
      </c>
      <c r="W314" s="908">
        <v>592</v>
      </c>
      <c r="X314" s="908">
        <v>1305</v>
      </c>
      <c r="Y314" s="908">
        <v>2021</v>
      </c>
      <c r="Z314" s="426">
        <f>++AA314</f>
        <v>4604</v>
      </c>
      <c r="AA314" s="1002">
        <v>4604</v>
      </c>
      <c r="AB314" s="908">
        <v>717</v>
      </c>
      <c r="AC314" s="908">
        <v>1550</v>
      </c>
      <c r="AD314" s="908">
        <v>2395</v>
      </c>
      <c r="AE314" s="426">
        <f>++AF314</f>
        <v>2920</v>
      </c>
      <c r="AF314" s="1002">
        <v>2920</v>
      </c>
      <c r="AG314" s="908">
        <v>928</v>
      </c>
      <c r="AH314" s="908">
        <v>1745</v>
      </c>
      <c r="AI314" s="908">
        <v>2523</v>
      </c>
      <c r="AJ314" s="426">
        <f>++AK314</f>
        <v>3304</v>
      </c>
      <c r="AK314" s="1002">
        <v>3304</v>
      </c>
      <c r="AL314" s="891">
        <v>566</v>
      </c>
      <c r="AM314" s="891">
        <v>1370</v>
      </c>
      <c r="AN314" s="891">
        <v>3826</v>
      </c>
      <c r="AO314" s="176">
        <f>AP314</f>
        <v>4778</v>
      </c>
      <c r="AP314" s="992">
        <v>4778</v>
      </c>
      <c r="AQ314" s="891">
        <v>1293</v>
      </c>
      <c r="AR314" s="891">
        <v>2398</v>
      </c>
      <c r="AS314" s="891">
        <v>3286</v>
      </c>
      <c r="AT314" s="176">
        <f>AU314</f>
        <v>4325</v>
      </c>
      <c r="AU314" s="992">
        <v>4325</v>
      </c>
      <c r="AV314" s="891">
        <v>1047</v>
      </c>
      <c r="AW314" s="891">
        <v>2441</v>
      </c>
      <c r="AX314" s="891">
        <v>4222</v>
      </c>
      <c r="AY314" s="176">
        <f>AZ314</f>
        <v>4418</v>
      </c>
      <c r="AZ314" s="992">
        <v>4418</v>
      </c>
      <c r="BA314" s="891">
        <v>1188</v>
      </c>
      <c r="BB314" s="891">
        <v>2822</v>
      </c>
      <c r="BC314" s="891">
        <v>4391</v>
      </c>
      <c r="BD314" s="176">
        <f>BE314</f>
        <v>4659</v>
      </c>
      <c r="BE314" s="992">
        <v>4659</v>
      </c>
      <c r="BF314" s="891">
        <v>1879</v>
      </c>
      <c r="BG314" s="891">
        <v>3634</v>
      </c>
      <c r="BH314" s="892">
        <v>3541</v>
      </c>
      <c r="BI314" s="176">
        <f>BJ314</f>
        <v>0</v>
      </c>
      <c r="BJ314" s="971"/>
      <c r="BK314" s="176"/>
      <c r="BL314" s="176"/>
      <c r="BM314" s="176"/>
      <c r="BN314" s="176">
        <f>BO314</f>
        <v>0</v>
      </c>
      <c r="BO314" s="971"/>
      <c r="BP314" s="971"/>
      <c r="BQ314" s="971"/>
      <c r="BR314" s="971"/>
      <c r="BS314" s="229"/>
    </row>
    <row r="315" spans="1:71" s="224" customFormat="1" ht="15" hidden="1" outlineLevel="1">
      <c r="A315" s="607" t="s">
        <v>102</v>
      </c>
      <c r="B315" s="365"/>
      <c r="C315" s="973"/>
      <c r="D315" s="973"/>
      <c r="E315" s="973"/>
      <c r="F315" s="973"/>
      <c r="G315" s="973"/>
      <c r="H315" s="177"/>
      <c r="I315" s="177"/>
      <c r="J315" s="177"/>
      <c r="K315" s="310">
        <f>++L315</f>
        <v>0</v>
      </c>
      <c r="L315" s="973"/>
      <c r="M315" s="177"/>
      <c r="N315" s="177"/>
      <c r="O315" s="177"/>
      <c r="P315" s="310">
        <f>++Q315</f>
        <v>0</v>
      </c>
      <c r="Q315" s="973"/>
      <c r="R315" s="177"/>
      <c r="S315" s="177"/>
      <c r="T315" s="177"/>
      <c r="U315" s="310">
        <f>++V315</f>
        <v>0</v>
      </c>
      <c r="V315" s="973"/>
      <c r="W315" s="177"/>
      <c r="X315" s="177"/>
      <c r="Y315" s="177"/>
      <c r="Z315" s="310">
        <f>++AA315</f>
        <v>0</v>
      </c>
      <c r="AA315" s="973"/>
      <c r="AB315" s="177"/>
      <c r="AC315" s="177"/>
      <c r="AD315" s="177"/>
      <c r="AE315" s="310">
        <f>++AF315</f>
        <v>0</v>
      </c>
      <c r="AF315" s="973"/>
      <c r="AG315" s="177"/>
      <c r="AH315" s="177"/>
      <c r="AI315" s="177"/>
      <c r="AJ315" s="310">
        <f>++AK315</f>
        <v>0</v>
      </c>
      <c r="AK315" s="973"/>
      <c r="AL315" s="177"/>
      <c r="AM315" s="177"/>
      <c r="AN315" s="177"/>
      <c r="AO315" s="177">
        <f>AP315</f>
        <v>0</v>
      </c>
      <c r="AP315" s="973"/>
      <c r="AQ315" s="177"/>
      <c r="AR315" s="177"/>
      <c r="AS315" s="177"/>
      <c r="AT315" s="177">
        <f>AU315</f>
        <v>0</v>
      </c>
      <c r="AU315" s="973"/>
      <c r="AV315" s="177"/>
      <c r="AW315" s="177"/>
      <c r="AX315" s="177"/>
      <c r="AY315" s="177">
        <f>AZ315</f>
        <v>0</v>
      </c>
      <c r="AZ315" s="973"/>
      <c r="BA315" s="177"/>
      <c r="BB315" s="177"/>
      <c r="BC315" s="177"/>
      <c r="BD315" s="177">
        <f>BE315</f>
        <v>0</v>
      </c>
      <c r="BE315" s="973"/>
      <c r="BF315" s="177"/>
      <c r="BG315" s="177"/>
      <c r="BH315" s="638"/>
      <c r="BI315" s="177">
        <f>BJ315</f>
        <v>0</v>
      </c>
      <c r="BJ315" s="973"/>
      <c r="BK315" s="177"/>
      <c r="BL315" s="177"/>
      <c r="BM315" s="177"/>
      <c r="BN315" s="177">
        <f>BO315</f>
        <v>0</v>
      </c>
      <c r="BO315" s="973"/>
      <c r="BP315" s="973"/>
      <c r="BQ315" s="973"/>
      <c r="BR315" s="973"/>
      <c r="BS315" s="229"/>
    </row>
    <row r="316" spans="1:71" s="44" customFormat="1" ht="15" hidden="1" outlineLevel="1">
      <c r="A316" s="109" t="s">
        <v>103</v>
      </c>
      <c r="B316" s="367"/>
      <c r="C316" s="983">
        <f t="shared" si="711" ref="C316:AU316">SUM(C314:C315)</f>
        <v>1497</v>
      </c>
      <c r="D316" s="983">
        <f t="shared" si="711"/>
        <v>2344</v>
      </c>
      <c r="E316" s="983">
        <f t="shared" si="711"/>
        <v>1937</v>
      </c>
      <c r="F316" s="983">
        <f t="shared" si="711"/>
        <v>2866</v>
      </c>
      <c r="G316" s="983">
        <f t="shared" si="711"/>
        <v>3158</v>
      </c>
      <c r="H316" s="111">
        <f t="shared" si="711"/>
        <v>732</v>
      </c>
      <c r="I316" s="111">
        <f t="shared" si="711"/>
        <v>1542</v>
      </c>
      <c r="J316" s="111">
        <f t="shared" si="711"/>
        <v>2248</v>
      </c>
      <c r="K316" s="111">
        <f t="shared" si="711"/>
        <v>2951</v>
      </c>
      <c r="L316" s="983">
        <f t="shared" si="711"/>
        <v>2951</v>
      </c>
      <c r="M316" s="111">
        <f t="shared" si="711"/>
        <v>663</v>
      </c>
      <c r="N316" s="111">
        <f t="shared" si="711"/>
        <v>1236</v>
      </c>
      <c r="O316" s="111">
        <f t="shared" si="711"/>
        <v>1803</v>
      </c>
      <c r="P316" s="111">
        <f t="shared" si="711"/>
        <v>2533</v>
      </c>
      <c r="Q316" s="983">
        <f t="shared" si="711"/>
        <v>2533</v>
      </c>
      <c r="R316" s="111">
        <f t="shared" si="711"/>
        <v>731</v>
      </c>
      <c r="S316" s="111">
        <f t="shared" si="711"/>
        <v>1279</v>
      </c>
      <c r="T316" s="111">
        <f t="shared" si="711"/>
        <v>1908</v>
      </c>
      <c r="U316" s="111">
        <f t="shared" si="711"/>
        <v>2659</v>
      </c>
      <c r="V316" s="983">
        <f t="shared" si="711"/>
        <v>2659</v>
      </c>
      <c r="W316" s="111">
        <f t="shared" si="711"/>
        <v>592</v>
      </c>
      <c r="X316" s="111">
        <f t="shared" si="711"/>
        <v>1305</v>
      </c>
      <c r="Y316" s="111">
        <f t="shared" si="711"/>
        <v>2021</v>
      </c>
      <c r="Z316" s="111">
        <f t="shared" si="711"/>
        <v>4604</v>
      </c>
      <c r="AA316" s="983">
        <f t="shared" si="711"/>
        <v>4604</v>
      </c>
      <c r="AB316" s="111">
        <f t="shared" si="711"/>
        <v>717</v>
      </c>
      <c r="AC316" s="111">
        <f t="shared" si="711"/>
        <v>1550</v>
      </c>
      <c r="AD316" s="111">
        <f t="shared" si="711"/>
        <v>2395</v>
      </c>
      <c r="AE316" s="111">
        <f t="shared" si="711"/>
        <v>2920</v>
      </c>
      <c r="AF316" s="983">
        <f t="shared" si="711"/>
        <v>2920</v>
      </c>
      <c r="AG316" s="111">
        <f t="shared" si="711"/>
        <v>928</v>
      </c>
      <c r="AH316" s="111">
        <f t="shared" si="711"/>
        <v>1745</v>
      </c>
      <c r="AI316" s="111">
        <f t="shared" si="711"/>
        <v>2523</v>
      </c>
      <c r="AJ316" s="111">
        <f t="shared" si="711"/>
        <v>3304</v>
      </c>
      <c r="AK316" s="983">
        <f t="shared" si="711"/>
        <v>3304</v>
      </c>
      <c r="AL316" s="25">
        <f t="shared" si="711"/>
        <v>566</v>
      </c>
      <c r="AM316" s="25">
        <f t="shared" si="711"/>
        <v>1370</v>
      </c>
      <c r="AN316" s="25">
        <f t="shared" si="711"/>
        <v>3826</v>
      </c>
      <c r="AO316" s="25">
        <f t="shared" si="711"/>
        <v>4778</v>
      </c>
      <c r="AP316" s="982">
        <f t="shared" si="711"/>
        <v>4778</v>
      </c>
      <c r="AQ316" s="25">
        <f t="shared" si="711"/>
        <v>1293</v>
      </c>
      <c r="AR316" s="25">
        <f t="shared" si="711"/>
        <v>2398</v>
      </c>
      <c r="AS316" s="25">
        <f t="shared" si="711"/>
        <v>3286</v>
      </c>
      <c r="AT316" s="25">
        <f t="shared" si="711"/>
        <v>4325</v>
      </c>
      <c r="AU316" s="982">
        <f t="shared" si="711"/>
        <v>4325</v>
      </c>
      <c r="AV316" s="25">
        <f t="shared" si="712" ref="AV316:AZ316">SUM(AV314:AV315)</f>
        <v>1047</v>
      </c>
      <c r="AW316" s="25">
        <f t="shared" si="712"/>
        <v>2441</v>
      </c>
      <c r="AX316" s="25">
        <f t="shared" si="712"/>
        <v>4222</v>
      </c>
      <c r="AY316" s="25">
        <f t="shared" si="712"/>
        <v>4418</v>
      </c>
      <c r="AZ316" s="982">
        <f t="shared" si="712"/>
        <v>4418</v>
      </c>
      <c r="BA316" s="25">
        <f t="shared" si="713" ref="BA316:BJ316">SUM(BA314:BA315)</f>
        <v>1188</v>
      </c>
      <c r="BB316" s="25">
        <f t="shared" si="713"/>
        <v>2822</v>
      </c>
      <c r="BC316" s="25">
        <f>SUM(BC314:BC315)</f>
        <v>4391</v>
      </c>
      <c r="BD316" s="25">
        <f t="shared" si="713"/>
        <v>4659</v>
      </c>
      <c r="BE316" s="982">
        <f t="shared" si="713"/>
        <v>4659</v>
      </c>
      <c r="BF316" s="25">
        <f>SUM(BF314:BF315)</f>
        <v>1879</v>
      </c>
      <c r="BG316" s="25">
        <f>SUM(BG314:BG315)</f>
        <v>3634</v>
      </c>
      <c r="BH316" s="749">
        <f>SUM(BH314:BH315)</f>
        <v>3541</v>
      </c>
      <c r="BI316" s="25">
        <f>SUM(BI314:BI315)</f>
        <v>0</v>
      </c>
      <c r="BJ316" s="982">
        <f t="shared" si="713"/>
        <v>0</v>
      </c>
      <c r="BK316" s="25">
        <f t="shared" si="714" ref="BK316:BR316">SUM(BK314:BK315)</f>
        <v>0</v>
      </c>
      <c r="BL316" s="25">
        <f t="shared" si="714"/>
        <v>0</v>
      </c>
      <c r="BM316" s="25">
        <f t="shared" si="714"/>
        <v>0</v>
      </c>
      <c r="BN316" s="25">
        <f t="shared" si="714"/>
        <v>0</v>
      </c>
      <c r="BO316" s="982">
        <f t="shared" si="714"/>
        <v>0</v>
      </c>
      <c r="BP316" s="982">
        <f t="shared" si="714"/>
        <v>0</v>
      </c>
      <c r="BQ316" s="982">
        <f t="shared" si="714"/>
        <v>0</v>
      </c>
      <c r="BR316" s="982">
        <f t="shared" si="714"/>
        <v>0</v>
      </c>
      <c r="BS316" s="100"/>
    </row>
    <row r="317" spans="1:71" s="224" customFormat="1" ht="15" hidden="1" outlineLevel="1">
      <c r="A317" s="424" t="s">
        <v>104</v>
      </c>
      <c r="B317" s="363"/>
      <c r="C317" s="1002">
        <v>406</v>
      </c>
      <c r="D317" s="1002">
        <v>1078</v>
      </c>
      <c r="E317" s="1002">
        <v>25</v>
      </c>
      <c r="F317" s="1002">
        <v>-199</v>
      </c>
      <c r="G317" s="1002">
        <v>-8</v>
      </c>
      <c r="H317" s="908">
        <v>171</v>
      </c>
      <c r="I317" s="908">
        <v>24</v>
      </c>
      <c r="J317" s="908">
        <v>-2</v>
      </c>
      <c r="K317" s="426">
        <f t="shared" si="715" ref="K317:K322">++L317</f>
        <v>-7</v>
      </c>
      <c r="L317" s="1002">
        <v>-7</v>
      </c>
      <c r="M317" s="908">
        <v>141</v>
      </c>
      <c r="N317" s="908">
        <v>1</v>
      </c>
      <c r="O317" s="908">
        <v>98</v>
      </c>
      <c r="P317" s="426">
        <f t="shared" si="716" ref="P317:P322">++Q317</f>
        <v>147</v>
      </c>
      <c r="Q317" s="1002">
        <v>147</v>
      </c>
      <c r="R317" s="908">
        <v>32</v>
      </c>
      <c r="S317" s="908">
        <v>53</v>
      </c>
      <c r="T317" s="908">
        <v>41</v>
      </c>
      <c r="U317" s="426">
        <f t="shared" si="717" ref="U317:U322">++V317</f>
        <v>42</v>
      </c>
      <c r="V317" s="1002">
        <v>42</v>
      </c>
      <c r="W317" s="908">
        <v>106</v>
      </c>
      <c r="X317" s="908">
        <v>8</v>
      </c>
      <c r="Y317" s="908">
        <v>-32</v>
      </c>
      <c r="Z317" s="426">
        <f t="shared" si="718" ref="Z317:Z322">++AA317</f>
        <v>-91</v>
      </c>
      <c r="AA317" s="1002">
        <v>-91</v>
      </c>
      <c r="AB317" s="908">
        <v>14</v>
      </c>
      <c r="AC317" s="908">
        <v>-1</v>
      </c>
      <c r="AD317" s="908">
        <v>-27</v>
      </c>
      <c r="AE317" s="426">
        <f t="shared" si="719" ref="AE317:AE322">++AF317</f>
        <v>-55</v>
      </c>
      <c r="AF317" s="1002">
        <v>-55</v>
      </c>
      <c r="AG317" s="908">
        <v>35</v>
      </c>
      <c r="AH317" s="908">
        <v>-17</v>
      </c>
      <c r="AI317" s="908">
        <v>-36</v>
      </c>
      <c r="AJ317" s="426">
        <f t="shared" si="720" ref="AJ317:AJ322">++AK317</f>
        <v>-32</v>
      </c>
      <c r="AK317" s="1002">
        <v>-32</v>
      </c>
      <c r="AL317" s="891">
        <v>15</v>
      </c>
      <c r="AM317" s="891">
        <v>-65</v>
      </c>
      <c r="AN317" s="891">
        <v>12</v>
      </c>
      <c r="AO317" s="176">
        <f t="shared" si="721" ref="AO317:AO322">AP317</f>
        <v>52</v>
      </c>
      <c r="AP317" s="992">
        <v>52</v>
      </c>
      <c r="AQ317" s="891">
        <v>-19</v>
      </c>
      <c r="AR317" s="891">
        <v>-4</v>
      </c>
      <c r="AS317" s="891">
        <v>22</v>
      </c>
      <c r="AT317" s="176">
        <f t="shared" si="722" ref="AT317:AT322">AU317</f>
        <v>72</v>
      </c>
      <c r="AU317" s="992">
        <v>72</v>
      </c>
      <c r="AV317" s="891">
        <v>-29</v>
      </c>
      <c r="AW317" s="891">
        <v>-27</v>
      </c>
      <c r="AX317" s="891">
        <v>10</v>
      </c>
      <c r="AY317" s="176">
        <f t="shared" si="723" ref="AY317:AY322">AZ317</f>
        <v>5</v>
      </c>
      <c r="AZ317" s="992">
        <v>5</v>
      </c>
      <c r="BA317" s="891">
        <v>-34</v>
      </c>
      <c r="BB317" s="891">
        <v>-35</v>
      </c>
      <c r="BC317" s="891">
        <v>42</v>
      </c>
      <c r="BD317" s="176">
        <f t="shared" si="724" ref="BD317:BD322">BE317</f>
        <v>-133</v>
      </c>
      <c r="BE317" s="992">
        <v>-133</v>
      </c>
      <c r="BF317" s="891">
        <v>32</v>
      </c>
      <c r="BG317" s="891">
        <v>19</v>
      </c>
      <c r="BH317" s="892">
        <v>28</v>
      </c>
      <c r="BI317" s="176">
        <f t="shared" si="725" ref="BI317:BI322">BJ317</f>
        <v>0</v>
      </c>
      <c r="BJ317" s="971"/>
      <c r="BK317" s="176"/>
      <c r="BL317" s="176"/>
      <c r="BM317" s="176"/>
      <c r="BN317" s="176">
        <f t="shared" si="726" ref="BN317:BN322">BO317</f>
        <v>0</v>
      </c>
      <c r="BO317" s="971"/>
      <c r="BP317" s="971"/>
      <c r="BQ317" s="971"/>
      <c r="BR317" s="971"/>
      <c r="BS317" s="229"/>
    </row>
    <row r="318" spans="1:71" s="224" customFormat="1" ht="15" hidden="1" outlineLevel="1">
      <c r="A318" s="424" t="s">
        <v>105</v>
      </c>
      <c r="B318" s="363"/>
      <c r="C318" s="1002">
        <v>-358</v>
      </c>
      <c r="D318" s="1002">
        <v>-416</v>
      </c>
      <c r="E318" s="1002">
        <v>-505</v>
      </c>
      <c r="F318" s="1002">
        <v>-643</v>
      </c>
      <c r="G318" s="1002">
        <v>-404</v>
      </c>
      <c r="H318" s="908">
        <v>-26</v>
      </c>
      <c r="I318" s="908">
        <v>-85</v>
      </c>
      <c r="J318" s="908">
        <v>-135</v>
      </c>
      <c r="K318" s="426">
        <f t="shared" si="715"/>
        <v>-225</v>
      </c>
      <c r="L318" s="1002">
        <v>-225</v>
      </c>
      <c r="M318" s="908">
        <v>-29</v>
      </c>
      <c r="N318" s="908">
        <v>-87</v>
      </c>
      <c r="O318" s="908">
        <v>-152</v>
      </c>
      <c r="P318" s="426">
        <f t="shared" si="716"/>
        <v>-241</v>
      </c>
      <c r="Q318" s="1002">
        <v>-241</v>
      </c>
      <c r="R318" s="908">
        <v>-37</v>
      </c>
      <c r="S318" s="908">
        <v>-103</v>
      </c>
      <c r="T318" s="908">
        <v>-186</v>
      </c>
      <c r="U318" s="426">
        <f t="shared" si="717"/>
        <v>-306</v>
      </c>
      <c r="V318" s="1002">
        <v>-306</v>
      </c>
      <c r="W318" s="908">
        <v>-41</v>
      </c>
      <c r="X318" s="908">
        <v>-116</v>
      </c>
      <c r="Y318" s="908">
        <v>-229</v>
      </c>
      <c r="Z318" s="426">
        <f t="shared" si="718"/>
        <v>-336</v>
      </c>
      <c r="AA318" s="1002">
        <f>-1468+1132</f>
        <v>-336</v>
      </c>
      <c r="AB318" s="908">
        <f>-349+314</f>
        <v>-35</v>
      </c>
      <c r="AC318" s="908">
        <f>-716+617</f>
        <v>-99</v>
      </c>
      <c r="AD318" s="908">
        <f>-1082+932</f>
        <v>-150</v>
      </c>
      <c r="AE318" s="426">
        <f t="shared" si="719"/>
        <v>-259</v>
      </c>
      <c r="AF318" s="1002">
        <f>-1504+1245</f>
        <v>-259</v>
      </c>
      <c r="AG318" s="908">
        <f>-357+340</f>
        <v>-17</v>
      </c>
      <c r="AH318" s="908">
        <f>-712+649</f>
        <v>-63</v>
      </c>
      <c r="AI318" s="908">
        <f>-1057+967</f>
        <v>-90</v>
      </c>
      <c r="AJ318" s="426">
        <f t="shared" si="720"/>
        <v>-170</v>
      </c>
      <c r="AK318" s="1002">
        <f>-1452+1282</f>
        <v>-170</v>
      </c>
      <c r="AL318" s="891">
        <f>-325+333</f>
        <v>8</v>
      </c>
      <c r="AM318" s="891">
        <f>-604+622</f>
        <v>18</v>
      </c>
      <c r="AN318" s="891">
        <f>-870+914</f>
        <v>44</v>
      </c>
      <c r="AO318" s="176">
        <f t="shared" si="721"/>
        <v>72</v>
      </c>
      <c r="AP318" s="992">
        <f>-1142+1214</f>
        <v>72</v>
      </c>
      <c r="AQ318" s="891">
        <f>-262+311</f>
        <v>49</v>
      </c>
      <c r="AR318" s="891">
        <f>-515+592</f>
        <v>77</v>
      </c>
      <c r="AS318" s="891">
        <f>-778+869</f>
        <v>91</v>
      </c>
      <c r="AT318" s="176">
        <f t="shared" si="722"/>
        <v>107</v>
      </c>
      <c r="AU318" s="992">
        <f>-1063+1170</f>
        <v>107</v>
      </c>
      <c r="AV318" s="891">
        <f>-255+207</f>
        <v>-48</v>
      </c>
      <c r="AW318" s="891">
        <f>-509+405</f>
        <v>-104</v>
      </c>
      <c r="AX318" s="891">
        <f>-770+598</f>
        <v>-172</v>
      </c>
      <c r="AY318" s="176">
        <f t="shared" si="723"/>
        <v>-262</v>
      </c>
      <c r="AZ318" s="992">
        <f>-1054+792</f>
        <v>-262</v>
      </c>
      <c r="BA318" s="891">
        <f>-270+205</f>
        <v>-65</v>
      </c>
      <c r="BB318" s="891">
        <f>-525+407</f>
        <v>-118</v>
      </c>
      <c r="BC318" s="891">
        <f>-804+608</f>
        <v>-196</v>
      </c>
      <c r="BD318" s="176">
        <f t="shared" si="724"/>
        <v>-270</v>
      </c>
      <c r="BE318" s="992">
        <f>-1086+816</f>
        <v>-270</v>
      </c>
      <c r="BF318" s="891">
        <f>-254+215</f>
        <v>-39</v>
      </c>
      <c r="BG318" s="891">
        <f>-508+424</f>
        <v>-84</v>
      </c>
      <c r="BH318" s="892">
        <f>-767+638</f>
        <v>-129</v>
      </c>
      <c r="BI318" s="176">
        <f t="shared" si="725"/>
        <v>0</v>
      </c>
      <c r="BJ318" s="971"/>
      <c r="BK318" s="176"/>
      <c r="BL318" s="176"/>
      <c r="BM318" s="176"/>
      <c r="BN318" s="176">
        <f t="shared" si="726"/>
        <v>0</v>
      </c>
      <c r="BO318" s="971"/>
      <c r="BP318" s="971"/>
      <c r="BQ318" s="971"/>
      <c r="BR318" s="971"/>
      <c r="BS318" s="229"/>
    </row>
    <row r="319" spans="1:71" s="224" customFormat="1" ht="15" hidden="1" outlineLevel="1">
      <c r="A319" s="424" t="s">
        <v>106</v>
      </c>
      <c r="B319" s="363"/>
      <c r="C319" s="1002">
        <v>3019</v>
      </c>
      <c r="D319" s="1002">
        <v>3448</v>
      </c>
      <c r="E319" s="1002">
        <v>7402</v>
      </c>
      <c r="F319" s="1002">
        <v>12005</v>
      </c>
      <c r="G319" s="1002">
        <v>6806</v>
      </c>
      <c r="H319" s="908">
        <v>978</v>
      </c>
      <c r="I319" s="908">
        <v>1632</v>
      </c>
      <c r="J319" s="908">
        <v>2674</v>
      </c>
      <c r="K319" s="426">
        <f t="shared" si="715"/>
        <v>3614</v>
      </c>
      <c r="L319" s="1002">
        <v>3614</v>
      </c>
      <c r="M319" s="908">
        <v>835</v>
      </c>
      <c r="N319" s="908">
        <v>1714</v>
      </c>
      <c r="O319" s="908">
        <v>2696</v>
      </c>
      <c r="P319" s="426">
        <f t="shared" si="716"/>
        <v>3524</v>
      </c>
      <c r="Q319" s="1002">
        <v>3524</v>
      </c>
      <c r="R319" s="908">
        <v>919</v>
      </c>
      <c r="S319" s="908">
        <v>1654</v>
      </c>
      <c r="T319" s="908">
        <v>2329</v>
      </c>
      <c r="U319" s="426">
        <f t="shared" si="717"/>
        <v>3331</v>
      </c>
      <c r="V319" s="1002">
        <v>3331</v>
      </c>
      <c r="W319" s="908">
        <v>666</v>
      </c>
      <c r="X319" s="908">
        <v>1326</v>
      </c>
      <c r="Y319" s="908">
        <v>2137</v>
      </c>
      <c r="Z319" s="426">
        <f t="shared" si="718"/>
        <v>2890</v>
      </c>
      <c r="AA319" s="1002">
        <v>2890</v>
      </c>
      <c r="AB319" s="908">
        <v>572</v>
      </c>
      <c r="AC319" s="908">
        <v>1346</v>
      </c>
      <c r="AD319" s="908">
        <v>1821</v>
      </c>
      <c r="AE319" s="426">
        <f t="shared" si="719"/>
        <v>2343</v>
      </c>
      <c r="AF319" s="1002">
        <v>2343</v>
      </c>
      <c r="AG319" s="908">
        <v>468</v>
      </c>
      <c r="AH319" s="908">
        <v>1019</v>
      </c>
      <c r="AI319" s="908">
        <v>1659</v>
      </c>
      <c r="AJ319" s="426">
        <f t="shared" si="720"/>
        <v>2104</v>
      </c>
      <c r="AK319" s="1002">
        <v>2104</v>
      </c>
      <c r="AL319" s="891">
        <v>368</v>
      </c>
      <c r="AM319" s="891">
        <v>936</v>
      </c>
      <c r="AN319" s="891">
        <v>1601</v>
      </c>
      <c r="AO319" s="176">
        <f t="shared" si="721"/>
        <v>2023</v>
      </c>
      <c r="AP319" s="992">
        <v>2023</v>
      </c>
      <c r="AQ319" s="891">
        <v>204</v>
      </c>
      <c r="AR319" s="891">
        <v>478</v>
      </c>
      <c r="AS319" s="891">
        <v>770</v>
      </c>
      <c r="AT319" s="176">
        <f t="shared" si="722"/>
        <v>976</v>
      </c>
      <c r="AU319" s="992">
        <v>976</v>
      </c>
      <c r="AV319" s="891">
        <v>143</v>
      </c>
      <c r="AW319" s="891">
        <v>509</v>
      </c>
      <c r="AX319" s="891">
        <v>717</v>
      </c>
      <c r="AY319" s="176">
        <f t="shared" si="723"/>
        <v>726</v>
      </c>
      <c r="AZ319" s="992">
        <v>726</v>
      </c>
      <c r="BA319" s="891">
        <v>-361</v>
      </c>
      <c r="BB319" s="891">
        <v>-37</v>
      </c>
      <c r="BC319" s="891">
        <v>-99</v>
      </c>
      <c r="BD319" s="176">
        <f t="shared" si="724"/>
        <v>-552</v>
      </c>
      <c r="BE319" s="992">
        <v>-552</v>
      </c>
      <c r="BF319" s="891">
        <v>-41</v>
      </c>
      <c r="BG319" s="891">
        <v>-43</v>
      </c>
      <c r="BH319" s="892">
        <v>-259</v>
      </c>
      <c r="BI319" s="176">
        <f t="shared" si="725"/>
        <v>0</v>
      </c>
      <c r="BJ319" s="971"/>
      <c r="BK319" s="176"/>
      <c r="BL319" s="176"/>
      <c r="BM319" s="176"/>
      <c r="BN319" s="176">
        <f t="shared" si="726"/>
        <v>0</v>
      </c>
      <c r="BO319" s="971"/>
      <c r="BP319" s="971"/>
      <c r="BQ319" s="971"/>
      <c r="BR319" s="971"/>
      <c r="BS319" s="229"/>
    </row>
    <row r="320" spans="1:71" s="224" customFormat="1" ht="15" hidden="1" outlineLevel="1">
      <c r="A320" s="424" t="s">
        <v>107</v>
      </c>
      <c r="B320" s="363"/>
      <c r="C320" s="1002">
        <v>139</v>
      </c>
      <c r="D320" s="1002">
        <v>128</v>
      </c>
      <c r="E320" s="1002">
        <v>266</v>
      </c>
      <c r="F320" s="1002">
        <v>712</v>
      </c>
      <c r="G320" s="1002">
        <v>993</v>
      </c>
      <c r="H320" s="908">
        <v>-320</v>
      </c>
      <c r="I320" s="908">
        <v>-83</v>
      </c>
      <c r="J320" s="908">
        <v>-270</v>
      </c>
      <c r="K320" s="426">
        <f t="shared" si="715"/>
        <v>123</v>
      </c>
      <c r="L320" s="1002">
        <v>123</v>
      </c>
      <c r="M320" s="908">
        <v>-156</v>
      </c>
      <c r="N320" s="908">
        <v>130</v>
      </c>
      <c r="O320" s="908">
        <v>-43</v>
      </c>
      <c r="P320" s="426">
        <f t="shared" si="716"/>
        <v>-36</v>
      </c>
      <c r="Q320" s="1002">
        <v>-36</v>
      </c>
      <c r="R320" s="908">
        <v>-367</v>
      </c>
      <c r="S320" s="908">
        <v>-136</v>
      </c>
      <c r="T320" s="908">
        <v>-365</v>
      </c>
      <c r="U320" s="426">
        <f t="shared" si="717"/>
        <v>-93</v>
      </c>
      <c r="V320" s="1002">
        <v>-93</v>
      </c>
      <c r="W320" s="908">
        <v>271</v>
      </c>
      <c r="X320" s="908">
        <v>368</v>
      </c>
      <c r="Y320" s="908">
        <v>323</v>
      </c>
      <c r="Z320" s="426">
        <f t="shared" si="718"/>
        <v>-1240</v>
      </c>
      <c r="AA320" s="1002">
        <v>-1240</v>
      </c>
      <c r="AB320" s="908">
        <v>-131</v>
      </c>
      <c r="AC320" s="908">
        <v>-180</v>
      </c>
      <c r="AD320" s="908">
        <v>38</v>
      </c>
      <c r="AE320" s="426">
        <f t="shared" si="719"/>
        <v>64</v>
      </c>
      <c r="AF320" s="1002">
        <v>64</v>
      </c>
      <c r="AG320" s="908">
        <v>316</v>
      </c>
      <c r="AH320" s="908">
        <v>-268</v>
      </c>
      <c r="AI320" s="908">
        <v>-85</v>
      </c>
      <c r="AJ320" s="426">
        <f t="shared" si="720"/>
        <v>-244</v>
      </c>
      <c r="AK320" s="1002">
        <v>-244</v>
      </c>
      <c r="AL320" s="891">
        <v>153</v>
      </c>
      <c r="AM320" s="891">
        <v>-117</v>
      </c>
      <c r="AN320" s="891">
        <v>-1509</v>
      </c>
      <c r="AO320" s="176">
        <f t="shared" si="721"/>
        <v>-1419</v>
      </c>
      <c r="AP320" s="992">
        <v>-1419</v>
      </c>
      <c r="AQ320" s="891">
        <v>331</v>
      </c>
      <c r="AR320" s="891">
        <v>98</v>
      </c>
      <c r="AS320" s="891">
        <v>325</v>
      </c>
      <c r="AT320" s="176">
        <f t="shared" si="722"/>
        <v>118</v>
      </c>
      <c r="AU320" s="992">
        <v>118</v>
      </c>
      <c r="AV320" s="891">
        <v>325</v>
      </c>
      <c r="AW320" s="891">
        <v>57</v>
      </c>
      <c r="AX320" s="891">
        <v>-491</v>
      </c>
      <c r="AY320" s="176">
        <f t="shared" si="723"/>
        <v>-509</v>
      </c>
      <c r="AZ320" s="992">
        <v>-509</v>
      </c>
      <c r="BA320" s="891">
        <v>154</v>
      </c>
      <c r="BB320" s="891">
        <v>-420</v>
      </c>
      <c r="BC320" s="891">
        <v>-289</v>
      </c>
      <c r="BD320" s="176">
        <f t="shared" si="724"/>
        <v>-967</v>
      </c>
      <c r="BE320" s="992">
        <v>-967</v>
      </c>
      <c r="BF320" s="891">
        <v>291</v>
      </c>
      <c r="BG320" s="891">
        <v>-221</v>
      </c>
      <c r="BH320" s="892">
        <v>-64</v>
      </c>
      <c r="BI320" s="176">
        <f t="shared" si="725"/>
        <v>0</v>
      </c>
      <c r="BJ320" s="971"/>
      <c r="BK320" s="176"/>
      <c r="BL320" s="176"/>
      <c r="BM320" s="176"/>
      <c r="BN320" s="176">
        <f t="shared" si="726"/>
        <v>0</v>
      </c>
      <c r="BO320" s="971"/>
      <c r="BP320" s="971"/>
      <c r="BQ320" s="971"/>
      <c r="BR320" s="971"/>
      <c r="BS320" s="229"/>
    </row>
    <row r="321" spans="1:71" s="224" customFormat="1" ht="15" hidden="1" outlineLevel="1">
      <c r="A321" s="424" t="s">
        <v>49</v>
      </c>
      <c r="B321" s="363"/>
      <c r="C321" s="1002">
        <v>1212</v>
      </c>
      <c r="D321" s="1002">
        <v>422</v>
      </c>
      <c r="E321" s="1002">
        <v>1552</v>
      </c>
      <c r="F321" s="1002">
        <v>349</v>
      </c>
      <c r="G321" s="1002">
        <v>-399</v>
      </c>
      <c r="H321" s="908">
        <v>46</v>
      </c>
      <c r="I321" s="908">
        <v>-56</v>
      </c>
      <c r="J321" s="908">
        <v>-72</v>
      </c>
      <c r="K321" s="426">
        <f t="shared" si="715"/>
        <v>-215</v>
      </c>
      <c r="L321" s="1002">
        <v>-215</v>
      </c>
      <c r="M321" s="908">
        <v>-13</v>
      </c>
      <c r="N321" s="908">
        <v>-140</v>
      </c>
      <c r="O321" s="908">
        <v>-26</v>
      </c>
      <c r="P321" s="426">
        <f t="shared" si="716"/>
        <v>-140</v>
      </c>
      <c r="Q321" s="1002">
        <v>-140</v>
      </c>
      <c r="R321" s="908">
        <v>-30</v>
      </c>
      <c r="S321" s="908">
        <v>114</v>
      </c>
      <c r="T321" s="908">
        <v>260</v>
      </c>
      <c r="U321" s="426">
        <f t="shared" si="717"/>
        <v>123</v>
      </c>
      <c r="V321" s="1002">
        <v>123</v>
      </c>
      <c r="W321" s="908">
        <v>140</v>
      </c>
      <c r="X321" s="908">
        <v>196</v>
      </c>
      <c r="Y321" s="908">
        <v>166</v>
      </c>
      <c r="Z321" s="426">
        <f t="shared" si="718"/>
        <v>151</v>
      </c>
      <c r="AA321" s="1002">
        <v>151</v>
      </c>
      <c r="AB321" s="908">
        <v>134</v>
      </c>
      <c r="AC321" s="908">
        <v>131</v>
      </c>
      <c r="AD321" s="908">
        <v>76</v>
      </c>
      <c r="AE321" s="426">
        <f t="shared" si="719"/>
        <v>430</v>
      </c>
      <c r="AF321" s="1002">
        <v>430</v>
      </c>
      <c r="AG321" s="908">
        <v>-71</v>
      </c>
      <c r="AH321" s="908">
        <v>-5</v>
      </c>
      <c r="AI321" s="908">
        <v>147</v>
      </c>
      <c r="AJ321" s="426">
        <f t="shared" si="720"/>
        <v>135</v>
      </c>
      <c r="AK321" s="1002">
        <v>135</v>
      </c>
      <c r="AL321" s="891">
        <v>463</v>
      </c>
      <c r="AM321" s="891">
        <v>633</v>
      </c>
      <c r="AN321" s="891">
        <v>525</v>
      </c>
      <c r="AO321" s="176">
        <f t="shared" si="721"/>
        <v>270</v>
      </c>
      <c r="AP321" s="992">
        <v>270</v>
      </c>
      <c r="AQ321" s="891">
        <v>-307</v>
      </c>
      <c r="AR321" s="891">
        <v>-396</v>
      </c>
      <c r="AS321" s="891">
        <v>-224</v>
      </c>
      <c r="AT321" s="176">
        <f t="shared" si="722"/>
        <v>-468</v>
      </c>
      <c r="AU321" s="992">
        <v>-468</v>
      </c>
      <c r="AV321" s="891">
        <v>-122</v>
      </c>
      <c r="AW321" s="891">
        <v>-686</v>
      </c>
      <c r="AX321" s="891">
        <v>-885</v>
      </c>
      <c r="AY321" s="176">
        <f t="shared" si="723"/>
        <v>-363</v>
      </c>
      <c r="AZ321" s="992">
        <v>-363</v>
      </c>
      <c r="BA321" s="891">
        <v>-123</v>
      </c>
      <c r="BB321" s="891">
        <v>-678</v>
      </c>
      <c r="BC321" s="891">
        <v>-1101</v>
      </c>
      <c r="BD321" s="176">
        <f t="shared" si="724"/>
        <v>-590</v>
      </c>
      <c r="BE321" s="992">
        <v>-590</v>
      </c>
      <c r="BF321" s="891">
        <v>-951</v>
      </c>
      <c r="BG321" s="891">
        <v>-1647</v>
      </c>
      <c r="BH321" s="892">
        <v>-239</v>
      </c>
      <c r="BI321" s="176">
        <f t="shared" si="725"/>
        <v>0</v>
      </c>
      <c r="BJ321" s="971"/>
      <c r="BK321" s="176"/>
      <c r="BL321" s="176"/>
      <c r="BM321" s="176"/>
      <c r="BN321" s="176">
        <f t="shared" si="726"/>
        <v>0</v>
      </c>
      <c r="BO321" s="971"/>
      <c r="BP321" s="971"/>
      <c r="BQ321" s="971"/>
      <c r="BR321" s="971"/>
      <c r="BS321" s="229"/>
    </row>
    <row r="322" spans="1:71" s="224" customFormat="1" ht="15" hidden="1" outlineLevel="1">
      <c r="A322" s="607" t="s">
        <v>108</v>
      </c>
      <c r="B322" s="365"/>
      <c r="C322" s="1004">
        <v>246</v>
      </c>
      <c r="D322" s="1004">
        <v>-15</v>
      </c>
      <c r="E322" s="1004">
        <v>165</v>
      </c>
      <c r="F322" s="1004">
        <v>-138</v>
      </c>
      <c r="G322" s="1004">
        <v>401</v>
      </c>
      <c r="H322" s="911">
        <v>34</v>
      </c>
      <c r="I322" s="911">
        <v>158</v>
      </c>
      <c r="J322" s="911">
        <v>134</v>
      </c>
      <c r="K322" s="609">
        <f t="shared" si="715"/>
        <v>309</v>
      </c>
      <c r="L322" s="1004">
        <v>309</v>
      </c>
      <c r="M322" s="911">
        <v>19</v>
      </c>
      <c r="N322" s="911">
        <v>249</v>
      </c>
      <c r="O322" s="911">
        <v>394</v>
      </c>
      <c r="P322" s="609">
        <f t="shared" si="716"/>
        <v>989</v>
      </c>
      <c r="Q322" s="1004">
        <v>989</v>
      </c>
      <c r="R322" s="911">
        <v>83</v>
      </c>
      <c r="S322" s="911">
        <v>-7</v>
      </c>
      <c r="T322" s="911">
        <v>133</v>
      </c>
      <c r="U322" s="609">
        <f t="shared" si="717"/>
        <v>231</v>
      </c>
      <c r="V322" s="1004">
        <v>231</v>
      </c>
      <c r="W322" s="911">
        <v>23</v>
      </c>
      <c r="X322" s="911">
        <v>78</v>
      </c>
      <c r="Y322" s="911">
        <v>210</v>
      </c>
      <c r="Z322" s="609">
        <f t="shared" si="718"/>
        <v>150</v>
      </c>
      <c r="AA322" s="1004">
        <v>150</v>
      </c>
      <c r="AB322" s="911">
        <v>-33</v>
      </c>
      <c r="AC322" s="911">
        <v>60</v>
      </c>
      <c r="AD322" s="911">
        <v>506</v>
      </c>
      <c r="AE322" s="609">
        <f t="shared" si="719"/>
        <v>571</v>
      </c>
      <c r="AF322" s="1004">
        <v>571</v>
      </c>
      <c r="AG322" s="911">
        <v>-115</v>
      </c>
      <c r="AH322" s="911">
        <v>-54</v>
      </c>
      <c r="AI322" s="911">
        <v>145</v>
      </c>
      <c r="AJ322" s="609">
        <f t="shared" si="720"/>
        <v>358</v>
      </c>
      <c r="AK322" s="1004">
        <v>358</v>
      </c>
      <c r="AL322" s="884">
        <v>-159</v>
      </c>
      <c r="AM322" s="884">
        <v>-174</v>
      </c>
      <c r="AN322" s="884">
        <v>102</v>
      </c>
      <c r="AO322" s="177">
        <f t="shared" si="721"/>
        <v>182</v>
      </c>
      <c r="AP322" s="984">
        <v>182</v>
      </c>
      <c r="AQ322" s="884">
        <v>-185</v>
      </c>
      <c r="AR322" s="884">
        <v>-323</v>
      </c>
      <c r="AS322" s="884">
        <v>-89</v>
      </c>
      <c r="AT322" s="177">
        <f t="shared" si="722"/>
        <v>-79</v>
      </c>
      <c r="AU322" s="984">
        <v>-79</v>
      </c>
      <c r="AV322" s="884">
        <v>-56</v>
      </c>
      <c r="AW322" s="884">
        <v>-420</v>
      </c>
      <c r="AX322" s="884">
        <v>-555</v>
      </c>
      <c r="AY322" s="177">
        <f t="shared" si="723"/>
        <v>-136</v>
      </c>
      <c r="AZ322" s="984">
        <v>-136</v>
      </c>
      <c r="BA322" s="884">
        <v>-51</v>
      </c>
      <c r="BB322" s="884">
        <v>-447</v>
      </c>
      <c r="BC322" s="884">
        <v>-391</v>
      </c>
      <c r="BD322" s="177">
        <f t="shared" si="724"/>
        <v>1043</v>
      </c>
      <c r="BE322" s="992">
        <v>1043</v>
      </c>
      <c r="BF322" s="884">
        <v>-322</v>
      </c>
      <c r="BG322" s="884">
        <v>-554</v>
      </c>
      <c r="BH322" s="905">
        <v>-504</v>
      </c>
      <c r="BI322" s="177">
        <f t="shared" si="725"/>
        <v>0</v>
      </c>
      <c r="BJ322" s="973"/>
      <c r="BK322" s="177"/>
      <c r="BL322" s="177"/>
      <c r="BM322" s="177"/>
      <c r="BN322" s="177">
        <f t="shared" si="726"/>
        <v>0</v>
      </c>
      <c r="BO322" s="973"/>
      <c r="BP322" s="973"/>
      <c r="BQ322" s="973"/>
      <c r="BR322" s="973"/>
      <c r="BS322" s="229"/>
    </row>
    <row r="323" spans="1:71" s="44" customFormat="1" ht="15" hidden="1" outlineLevel="1">
      <c r="A323" s="109" t="s">
        <v>109</v>
      </c>
      <c r="B323" s="367"/>
      <c r="C323" s="983">
        <f t="shared" si="727" ref="C323:AU323">SUM(C316:C322)</f>
        <v>6161</v>
      </c>
      <c r="D323" s="983">
        <f t="shared" si="727"/>
        <v>6989</v>
      </c>
      <c r="E323" s="983">
        <f t="shared" si="727"/>
        <v>10842</v>
      </c>
      <c r="F323" s="983">
        <f t="shared" si="727"/>
        <v>14952</v>
      </c>
      <c r="G323" s="983">
        <f t="shared" si="727"/>
        <v>10547</v>
      </c>
      <c r="H323" s="111">
        <f t="shared" si="727"/>
        <v>1615</v>
      </c>
      <c r="I323" s="111">
        <f t="shared" si="727"/>
        <v>3132</v>
      </c>
      <c r="J323" s="111">
        <f t="shared" si="727"/>
        <v>4577</v>
      </c>
      <c r="K323" s="111">
        <f t="shared" si="727"/>
        <v>6550</v>
      </c>
      <c r="L323" s="983">
        <f t="shared" si="727"/>
        <v>6550</v>
      </c>
      <c r="M323" s="111">
        <f t="shared" si="727"/>
        <v>1460</v>
      </c>
      <c r="N323" s="111">
        <f t="shared" si="727"/>
        <v>3103</v>
      </c>
      <c r="O323" s="111">
        <f t="shared" si="727"/>
        <v>4770</v>
      </c>
      <c r="P323" s="111">
        <f t="shared" si="727"/>
        <v>6776</v>
      </c>
      <c r="Q323" s="983">
        <f t="shared" si="727"/>
        <v>6776</v>
      </c>
      <c r="R323" s="111">
        <f t="shared" si="727"/>
        <v>1331</v>
      </c>
      <c r="S323" s="111">
        <f t="shared" si="727"/>
        <v>2854</v>
      </c>
      <c r="T323" s="111">
        <f t="shared" si="727"/>
        <v>4120</v>
      </c>
      <c r="U323" s="111">
        <f t="shared" si="727"/>
        <v>5987</v>
      </c>
      <c r="V323" s="983">
        <f t="shared" si="727"/>
        <v>5987</v>
      </c>
      <c r="W323" s="111">
        <f t="shared" si="727"/>
        <v>1757</v>
      </c>
      <c r="X323" s="111">
        <f t="shared" si="727"/>
        <v>3165</v>
      </c>
      <c r="Y323" s="111">
        <f t="shared" si="727"/>
        <v>4596</v>
      </c>
      <c r="Z323" s="111">
        <f t="shared" si="727"/>
        <v>6128</v>
      </c>
      <c r="AA323" s="983">
        <f t="shared" si="727"/>
        <v>6128</v>
      </c>
      <c r="AB323" s="111">
        <f t="shared" si="727"/>
        <v>1238</v>
      </c>
      <c r="AC323" s="111">
        <f t="shared" si="727"/>
        <v>2807</v>
      </c>
      <c r="AD323" s="111">
        <f t="shared" si="727"/>
        <v>4659</v>
      </c>
      <c r="AE323" s="111">
        <f t="shared" si="727"/>
        <v>6014</v>
      </c>
      <c r="AF323" s="983">
        <f t="shared" si="727"/>
        <v>6014</v>
      </c>
      <c r="AG323" s="111">
        <f t="shared" si="727"/>
        <v>1544</v>
      </c>
      <c r="AH323" s="111">
        <f t="shared" si="727"/>
        <v>2357</v>
      </c>
      <c r="AI323" s="111">
        <f t="shared" si="727"/>
        <v>4263</v>
      </c>
      <c r="AJ323" s="111">
        <f t="shared" si="727"/>
        <v>5455</v>
      </c>
      <c r="AK323" s="983">
        <f t="shared" si="727"/>
        <v>5455</v>
      </c>
      <c r="AL323" s="25">
        <f t="shared" si="727"/>
        <v>1414</v>
      </c>
      <c r="AM323" s="25">
        <f t="shared" si="727"/>
        <v>2601</v>
      </c>
      <c r="AN323" s="25">
        <f t="shared" si="727"/>
        <v>4601</v>
      </c>
      <c r="AO323" s="25">
        <f t="shared" si="727"/>
        <v>5958</v>
      </c>
      <c r="AP323" s="982">
        <f t="shared" si="727"/>
        <v>5958</v>
      </c>
      <c r="AQ323" s="25">
        <f t="shared" si="727"/>
        <v>1366</v>
      </c>
      <c r="AR323" s="25">
        <f t="shared" si="727"/>
        <v>2328</v>
      </c>
      <c r="AS323" s="25">
        <f t="shared" si="727"/>
        <v>4181</v>
      </c>
      <c r="AT323" s="25">
        <f t="shared" si="727"/>
        <v>5051</v>
      </c>
      <c r="AU323" s="982">
        <f t="shared" si="727"/>
        <v>5051</v>
      </c>
      <c r="AV323" s="25">
        <f t="shared" si="728" ref="AV323:AZ323">SUM(AV316:AV322)</f>
        <v>1260</v>
      </c>
      <c r="AW323" s="25">
        <f t="shared" si="728"/>
        <v>1770</v>
      </c>
      <c r="AX323" s="25">
        <f t="shared" si="728"/>
        <v>2846</v>
      </c>
      <c r="AY323" s="25">
        <f t="shared" si="728"/>
        <v>3879</v>
      </c>
      <c r="AZ323" s="982">
        <f t="shared" si="728"/>
        <v>3879</v>
      </c>
      <c r="BA323" s="25">
        <f t="shared" si="729" ref="BA323:BJ323">SUM(BA316:BA322)</f>
        <v>708</v>
      </c>
      <c r="BB323" s="25">
        <f t="shared" si="729"/>
        <v>1087</v>
      </c>
      <c r="BC323" s="25">
        <f>SUM(BC316:BC322)</f>
        <v>2357</v>
      </c>
      <c r="BD323" s="25">
        <f t="shared" si="729"/>
        <v>3190</v>
      </c>
      <c r="BE323" s="982">
        <f t="shared" si="729"/>
        <v>3190</v>
      </c>
      <c r="BF323" s="25">
        <f>SUM(BF316:BF322)</f>
        <v>849</v>
      </c>
      <c r="BG323" s="25">
        <f>SUM(BG316:BG322)</f>
        <v>1104</v>
      </c>
      <c r="BH323" s="749">
        <f>SUM(BH316:BH322)</f>
        <v>2374</v>
      </c>
      <c r="BI323" s="25">
        <f>SUM(BI316:BI322)</f>
        <v>0</v>
      </c>
      <c r="BJ323" s="982">
        <f t="shared" si="729"/>
        <v>0</v>
      </c>
      <c r="BK323" s="25">
        <f t="shared" si="730" ref="BK323:BR323">SUM(BK316:BK322)</f>
        <v>0</v>
      </c>
      <c r="BL323" s="25">
        <f t="shared" si="730"/>
        <v>0</v>
      </c>
      <c r="BM323" s="25">
        <f t="shared" si="730"/>
        <v>0</v>
      </c>
      <c r="BN323" s="25">
        <f t="shared" si="730"/>
        <v>0</v>
      </c>
      <c r="BO323" s="982">
        <f t="shared" si="730"/>
        <v>0</v>
      </c>
      <c r="BP323" s="982">
        <f t="shared" si="730"/>
        <v>0</v>
      </c>
      <c r="BQ323" s="982">
        <f t="shared" si="730"/>
        <v>0</v>
      </c>
      <c r="BR323" s="982">
        <f t="shared" si="730"/>
        <v>0</v>
      </c>
      <c r="BS323" s="100"/>
    </row>
    <row r="324" spans="1:71" s="44" customFormat="1" ht="15" hidden="1" outlineLevel="1">
      <c r="A324" s="368"/>
      <c r="B324" s="369"/>
      <c r="C324" s="978"/>
      <c r="D324" s="978"/>
      <c r="E324" s="978"/>
      <c r="F324" s="978"/>
      <c r="G324" s="978"/>
      <c r="H324" s="185"/>
      <c r="I324" s="185"/>
      <c r="J324" s="185"/>
      <c r="K324" s="185"/>
      <c r="L324" s="978"/>
      <c r="M324" s="185"/>
      <c r="N324" s="185"/>
      <c r="O324" s="185"/>
      <c r="P324" s="185"/>
      <c r="Q324" s="978"/>
      <c r="R324" s="185"/>
      <c r="S324" s="185"/>
      <c r="T324" s="185"/>
      <c r="U324" s="185"/>
      <c r="V324" s="978"/>
      <c r="W324" s="185"/>
      <c r="X324" s="185"/>
      <c r="Y324" s="185"/>
      <c r="Z324" s="185"/>
      <c r="AA324" s="978"/>
      <c r="AB324" s="185"/>
      <c r="AC324" s="185"/>
      <c r="AD324" s="185"/>
      <c r="AE324" s="185"/>
      <c r="AF324" s="978"/>
      <c r="AG324" s="185"/>
      <c r="AH324" s="185"/>
      <c r="AI324" s="185"/>
      <c r="AJ324" s="185"/>
      <c r="AK324" s="978"/>
      <c r="AL324" s="185"/>
      <c r="AM324" s="185"/>
      <c r="AN324" s="185"/>
      <c r="AO324" s="185"/>
      <c r="AP324" s="978"/>
      <c r="AQ324" s="185"/>
      <c r="AR324" s="185"/>
      <c r="AS324" s="185"/>
      <c r="AT324" s="185"/>
      <c r="AU324" s="978"/>
      <c r="AV324" s="185"/>
      <c r="AW324" s="185"/>
      <c r="AX324" s="185"/>
      <c r="AY324" s="185"/>
      <c r="AZ324" s="978"/>
      <c r="BA324" s="185"/>
      <c r="BB324" s="185"/>
      <c r="BC324" s="185"/>
      <c r="BD324" s="185"/>
      <c r="BE324" s="978"/>
      <c r="BF324" s="185"/>
      <c r="BG324" s="185"/>
      <c r="BH324" s="552"/>
      <c r="BI324" s="185"/>
      <c r="BJ324" s="978"/>
      <c r="BK324" s="185"/>
      <c r="BL324" s="185"/>
      <c r="BM324" s="185"/>
      <c r="BN324" s="185"/>
      <c r="BO324" s="978"/>
      <c r="BP324" s="978"/>
      <c r="BQ324" s="978"/>
      <c r="BR324" s="978"/>
      <c r="BS324" s="100"/>
    </row>
    <row r="325" spans="1:71" s="44" customFormat="1" ht="15" hidden="1" outlineLevel="1">
      <c r="A325" s="108" t="s">
        <v>110</v>
      </c>
      <c r="B325" s="369"/>
      <c r="C325" s="978"/>
      <c r="D325" s="978"/>
      <c r="E325" s="978"/>
      <c r="F325" s="978"/>
      <c r="G325" s="978"/>
      <c r="H325" s="185"/>
      <c r="I325" s="185"/>
      <c r="J325" s="185"/>
      <c r="K325" s="185"/>
      <c r="L325" s="978"/>
      <c r="M325" s="185"/>
      <c r="N325" s="185"/>
      <c r="O325" s="185"/>
      <c r="P325" s="185"/>
      <c r="Q325" s="978"/>
      <c r="R325" s="185"/>
      <c r="S325" s="185"/>
      <c r="T325" s="185"/>
      <c r="U325" s="185"/>
      <c r="V325" s="978"/>
      <c r="W325" s="185"/>
      <c r="X325" s="185"/>
      <c r="Y325" s="185"/>
      <c r="Z325" s="185"/>
      <c r="AA325" s="978"/>
      <c r="AB325" s="185"/>
      <c r="AC325" s="185"/>
      <c r="AD325" s="185"/>
      <c r="AE325" s="185"/>
      <c r="AF325" s="978"/>
      <c r="AG325" s="185"/>
      <c r="AH325" s="185"/>
      <c r="AI325" s="185"/>
      <c r="AJ325" s="185"/>
      <c r="AK325" s="978"/>
      <c r="AL325" s="185"/>
      <c r="AM325" s="185"/>
      <c r="AN325" s="185"/>
      <c r="AO325" s="185"/>
      <c r="AP325" s="978"/>
      <c r="AQ325" s="185"/>
      <c r="AR325" s="185"/>
      <c r="AS325" s="185"/>
      <c r="AT325" s="185"/>
      <c r="AU325" s="978"/>
      <c r="AV325" s="185"/>
      <c r="AW325" s="185"/>
      <c r="AX325" s="185"/>
      <c r="AY325" s="185"/>
      <c r="AZ325" s="978"/>
      <c r="BA325" s="185"/>
      <c r="BB325" s="185"/>
      <c r="BC325" s="185"/>
      <c r="BD325" s="185"/>
      <c r="BE325" s="978"/>
      <c r="BF325" s="185"/>
      <c r="BG325" s="185"/>
      <c r="BH325" s="552"/>
      <c r="BI325" s="185"/>
      <c r="BJ325" s="978"/>
      <c r="BK325" s="185"/>
      <c r="BL325" s="185"/>
      <c r="BM325" s="185"/>
      <c r="BN325" s="185"/>
      <c r="BO325" s="978"/>
      <c r="BP325" s="978"/>
      <c r="BQ325" s="978"/>
      <c r="BR325" s="978"/>
      <c r="BS325" s="100"/>
    </row>
    <row r="326" spans="1:71" s="224" customFormat="1" ht="15" hidden="1" outlineLevel="1">
      <c r="A326" s="424" t="s">
        <v>111</v>
      </c>
      <c r="B326" s="363"/>
      <c r="C326" s="1002">
        <v>4798</v>
      </c>
      <c r="D326" s="1002">
        <v>2724</v>
      </c>
      <c r="E326" s="1002">
        <v>14385</v>
      </c>
      <c r="F326" s="1002">
        <v>7385</v>
      </c>
      <c r="G326" s="1002">
        <v>9631</v>
      </c>
      <c r="H326" s="908">
        <v>677</v>
      </c>
      <c r="I326" s="908">
        <v>1536</v>
      </c>
      <c r="J326" s="908">
        <v>1773</v>
      </c>
      <c r="K326" s="426">
        <f>++L326</f>
        <v>4178</v>
      </c>
      <c r="L326" s="1002">
        <v>4178</v>
      </c>
      <c r="M326" s="908">
        <v>484</v>
      </c>
      <c r="N326" s="908">
        <v>1410</v>
      </c>
      <c r="O326" s="908">
        <v>1829</v>
      </c>
      <c r="P326" s="426">
        <f>++Q326</f>
        <v>3224</v>
      </c>
      <c r="Q326" s="1002">
        <v>3224</v>
      </c>
      <c r="R326" s="908">
        <v>266</v>
      </c>
      <c r="S326" s="908">
        <v>675</v>
      </c>
      <c r="T326" s="908">
        <v>978</v>
      </c>
      <c r="U326" s="426">
        <f>++V326</f>
        <v>5157</v>
      </c>
      <c r="V326" s="1002">
        <v>5157</v>
      </c>
      <c r="W326" s="908">
        <v>1385</v>
      </c>
      <c r="X326" s="908">
        <v>2114</v>
      </c>
      <c r="Y326" s="908">
        <v>2633</v>
      </c>
      <c r="Z326" s="426">
        <f>++AA326</f>
        <v>3819</v>
      </c>
      <c r="AA326" s="1002">
        <v>3819</v>
      </c>
      <c r="AB326" s="908">
        <v>433</v>
      </c>
      <c r="AC326" s="908">
        <v>3869</v>
      </c>
      <c r="AD326" s="908">
        <v>5991</v>
      </c>
      <c r="AE326" s="426">
        <f>++AF326</f>
        <v>7888</v>
      </c>
      <c r="AF326" s="1002">
        <v>7888</v>
      </c>
      <c r="AG326" s="908">
        <v>760</v>
      </c>
      <c r="AH326" s="908">
        <v>2105</v>
      </c>
      <c r="AI326" s="908">
        <v>3127</v>
      </c>
      <c r="AJ326" s="426">
        <f>++AK326</f>
        <v>5284</v>
      </c>
      <c r="AK326" s="1002">
        <v>5284</v>
      </c>
      <c r="AL326" s="891">
        <v>726</v>
      </c>
      <c r="AM326" s="891">
        <v>1981</v>
      </c>
      <c r="AN326" s="891">
        <v>2688</v>
      </c>
      <c r="AO326" s="176">
        <f t="shared" si="731" ref="AO326:AO331">AP326</f>
        <v>3725</v>
      </c>
      <c r="AP326" s="992">
        <v>3725</v>
      </c>
      <c r="AQ326" s="891">
        <v>651</v>
      </c>
      <c r="AR326" s="891">
        <v>1468</v>
      </c>
      <c r="AS326" s="891">
        <v>2719</v>
      </c>
      <c r="AT326" s="176">
        <f t="shared" si="732" ref="AT326:AT331">AU326</f>
        <v>4157</v>
      </c>
      <c r="AU326" s="992">
        <v>4157</v>
      </c>
      <c r="AV326" s="891">
        <v>545</v>
      </c>
      <c r="AW326" s="891">
        <v>2164</v>
      </c>
      <c r="AX326" s="891">
        <v>2997</v>
      </c>
      <c r="AY326" s="176">
        <f t="shared" si="733" ref="AY326:AY331">AZ326</f>
        <v>4418</v>
      </c>
      <c r="AZ326" s="992">
        <v>4418</v>
      </c>
      <c r="BA326" s="891">
        <v>949</v>
      </c>
      <c r="BB326" s="891">
        <v>1548</v>
      </c>
      <c r="BC326" s="891">
        <v>2112</v>
      </c>
      <c r="BD326" s="176">
        <f t="shared" si="734" ref="BD326:BD331">BE326</f>
        <v>3811</v>
      </c>
      <c r="BE326" s="992">
        <v>3811</v>
      </c>
      <c r="BF326" s="891">
        <v>2286</v>
      </c>
      <c r="BG326" s="891">
        <v>3598</v>
      </c>
      <c r="BH326" s="892">
        <v>4832</v>
      </c>
      <c r="BI326" s="176">
        <f>BJ326</f>
        <v>0</v>
      </c>
      <c r="BJ326" s="971"/>
      <c r="BK326" s="176"/>
      <c r="BL326" s="176"/>
      <c r="BM326" s="176"/>
      <c r="BN326" s="176">
        <f>BO326</f>
        <v>0</v>
      </c>
      <c r="BO326" s="971"/>
      <c r="BP326" s="971"/>
      <c r="BQ326" s="971"/>
      <c r="BR326" s="971"/>
      <c r="BS326" s="229"/>
    </row>
    <row r="327" spans="1:71" s="224" customFormat="1" ht="15" hidden="1" outlineLevel="1">
      <c r="A327" s="424" t="s">
        <v>112</v>
      </c>
      <c r="B327" s="363"/>
      <c r="C327" s="1002">
        <v>1976</v>
      </c>
      <c r="D327" s="1002">
        <v>1243</v>
      </c>
      <c r="E327" s="1002">
        <v>170</v>
      </c>
      <c r="F327" s="1002">
        <v>1959</v>
      </c>
      <c r="G327" s="1002">
        <v>2907</v>
      </c>
      <c r="H327" s="908">
        <v>222</v>
      </c>
      <c r="I327" s="908">
        <v>330</v>
      </c>
      <c r="J327" s="908">
        <v>723</v>
      </c>
      <c r="K327" s="426">
        <f>++L327</f>
        <v>1001</v>
      </c>
      <c r="L327" s="1002">
        <v>1001</v>
      </c>
      <c r="M327" s="908">
        <v>66</v>
      </c>
      <c r="N327" s="908">
        <v>518</v>
      </c>
      <c r="O327" s="908">
        <v>705</v>
      </c>
      <c r="P327" s="426">
        <f>++Q327</f>
        <v>1132</v>
      </c>
      <c r="Q327" s="1002">
        <v>1132</v>
      </c>
      <c r="R327" s="908">
        <v>408</v>
      </c>
      <c r="S327" s="908">
        <v>612</v>
      </c>
      <c r="T327" s="908">
        <v>774</v>
      </c>
      <c r="U327" s="426">
        <f>++V327</f>
        <v>1096</v>
      </c>
      <c r="V327" s="1002">
        <v>1096</v>
      </c>
      <c r="W327" s="908">
        <v>204</v>
      </c>
      <c r="X327" s="908">
        <v>451</v>
      </c>
      <c r="Y327" s="908">
        <v>740</v>
      </c>
      <c r="Z327" s="426">
        <f>++AA327</f>
        <v>768</v>
      </c>
      <c r="AA327" s="1002">
        <v>768</v>
      </c>
      <c r="AB327" s="908">
        <v>510</v>
      </c>
      <c r="AC327" s="139"/>
      <c r="AD327" s="139"/>
      <c r="AE327" s="426">
        <f>++AF327</f>
        <v>936</v>
      </c>
      <c r="AF327" s="1002">
        <v>936</v>
      </c>
      <c r="AG327" s="139"/>
      <c r="AH327" s="139"/>
      <c r="AI327" s="139"/>
      <c r="AJ327" s="426">
        <f>++AK327</f>
        <v>1814</v>
      </c>
      <c r="AK327" s="1002">
        <v>1814</v>
      </c>
      <c r="AL327" s="176"/>
      <c r="AM327" s="176"/>
      <c r="AN327" s="176"/>
      <c r="AO327" s="176">
        <f t="shared" si="731"/>
        <v>0</v>
      </c>
      <c r="AP327" s="971"/>
      <c r="AQ327" s="176"/>
      <c r="AR327" s="176"/>
      <c r="AS327" s="176"/>
      <c r="AT327" s="176">
        <f t="shared" si="732"/>
        <v>0</v>
      </c>
      <c r="AU327" s="971"/>
      <c r="AV327" s="176"/>
      <c r="AW327" s="176"/>
      <c r="AX327" s="176"/>
      <c r="AY327" s="176">
        <f t="shared" si="733"/>
        <v>0</v>
      </c>
      <c r="AZ327" s="971"/>
      <c r="BA327" s="176"/>
      <c r="BB327" s="176"/>
      <c r="BC327" s="176"/>
      <c r="BD327" s="176">
        <f t="shared" si="734"/>
        <v>0</v>
      </c>
      <c r="BE327" s="971"/>
      <c r="BF327" s="176"/>
      <c r="BG327" s="176"/>
      <c r="BH327" s="551"/>
      <c r="BI327" s="176">
        <f>BJ327</f>
        <v>0</v>
      </c>
      <c r="BJ327" s="971"/>
      <c r="BK327" s="176"/>
      <c r="BL327" s="176"/>
      <c r="BM327" s="176"/>
      <c r="BN327" s="176">
        <f>BO327</f>
        <v>0</v>
      </c>
      <c r="BO327" s="971"/>
      <c r="BP327" s="971"/>
      <c r="BQ327" s="971"/>
      <c r="BR327" s="971"/>
      <c r="BS327" s="229"/>
    </row>
    <row r="328" spans="1:71" s="224" customFormat="1" ht="15" hidden="1" outlineLevel="1">
      <c r="A328" s="424" t="s">
        <v>113</v>
      </c>
      <c r="B328" s="363"/>
      <c r="C328" s="1002">
        <v>595</v>
      </c>
      <c r="D328" s="1002">
        <v>700</v>
      </c>
      <c r="E328" s="1002">
        <v>690</v>
      </c>
      <c r="F328" s="1002">
        <v>1599</v>
      </c>
      <c r="G328" s="1002">
        <v>264</v>
      </c>
      <c r="H328" s="139"/>
      <c r="I328" s="908">
        <v>60</v>
      </c>
      <c r="J328" s="908">
        <v>60</v>
      </c>
      <c r="K328" s="426">
        <f>++L328</f>
        <v>0</v>
      </c>
      <c r="L328" s="1002">
        <v>0</v>
      </c>
      <c r="M328" s="139"/>
      <c r="N328" s="139"/>
      <c r="O328" s="139"/>
      <c r="P328" s="426">
        <f>++Q328</f>
        <v>0</v>
      </c>
      <c r="Q328" s="1003"/>
      <c r="R328" s="139"/>
      <c r="S328" s="139"/>
      <c r="T328" s="139"/>
      <c r="U328" s="426">
        <f>++V328</f>
        <v>0</v>
      </c>
      <c r="V328" s="1003"/>
      <c r="W328" s="139"/>
      <c r="X328" s="139"/>
      <c r="Y328" s="908">
        <v>9</v>
      </c>
      <c r="Z328" s="426">
        <f>++AA328</f>
        <v>0</v>
      </c>
      <c r="AA328" s="1003"/>
      <c r="AB328" s="139"/>
      <c r="AC328" s="139"/>
      <c r="AD328" s="139"/>
      <c r="AE328" s="426">
        <f>++AF328</f>
        <v>0</v>
      </c>
      <c r="AF328" s="1003"/>
      <c r="AG328" s="139"/>
      <c r="AH328" s="139"/>
      <c r="AI328" s="139"/>
      <c r="AJ328" s="426">
        <f>++AK328</f>
        <v>0</v>
      </c>
      <c r="AK328" s="1003"/>
      <c r="AL328" s="176"/>
      <c r="AM328" s="176"/>
      <c r="AN328" s="176"/>
      <c r="AO328" s="176">
        <f t="shared" si="731"/>
        <v>0</v>
      </c>
      <c r="AP328" s="971"/>
      <c r="AQ328" s="176"/>
      <c r="AR328" s="176"/>
      <c r="AS328" s="176"/>
      <c r="AT328" s="176">
        <f t="shared" si="732"/>
        <v>0</v>
      </c>
      <c r="AU328" s="971"/>
      <c r="AV328" s="176"/>
      <c r="AW328" s="176"/>
      <c r="AX328" s="176"/>
      <c r="AY328" s="176">
        <f t="shared" si="733"/>
        <v>0</v>
      </c>
      <c r="AZ328" s="971"/>
      <c r="BA328" s="176"/>
      <c r="BB328" s="176"/>
      <c r="BC328" s="176"/>
      <c r="BD328" s="176">
        <f t="shared" si="734"/>
        <v>0</v>
      </c>
      <c r="BE328" s="971"/>
      <c r="BF328" s="176"/>
      <c r="BG328" s="176"/>
      <c r="BH328" s="551"/>
      <c r="BI328" s="176">
        <f>BJ328</f>
        <v>0</v>
      </c>
      <c r="BJ328" s="971"/>
      <c r="BK328" s="176"/>
      <c r="BL328" s="176"/>
      <c r="BM328" s="176"/>
      <c r="BN328" s="176">
        <f>BO328</f>
        <v>0</v>
      </c>
      <c r="BO328" s="971"/>
      <c r="BP328" s="971"/>
      <c r="BQ328" s="971"/>
      <c r="BR328" s="971"/>
      <c r="BS328" s="229"/>
    </row>
    <row r="329" spans="1:71" s="224" customFormat="1" ht="15" hidden="1" outlineLevel="1">
      <c r="A329" s="424" t="s">
        <v>114</v>
      </c>
      <c r="B329" s="363"/>
      <c r="C329" s="1003"/>
      <c r="D329" s="1003"/>
      <c r="E329" s="1002">
        <v>0</v>
      </c>
      <c r="F329" s="1002">
        <v>376</v>
      </c>
      <c r="G329" s="1002">
        <v>256</v>
      </c>
      <c r="H329" s="908">
        <v>0</v>
      </c>
      <c r="I329" s="908">
        <v>0</v>
      </c>
      <c r="J329" s="908">
        <v>0</v>
      </c>
      <c r="K329" s="426">
        <f>++L329</f>
        <v>203</v>
      </c>
      <c r="L329" s="1002">
        <v>203</v>
      </c>
      <c r="M329" s="908">
        <v>156</v>
      </c>
      <c r="N329" s="908">
        <v>348</v>
      </c>
      <c r="O329" s="908">
        <v>394</v>
      </c>
      <c r="P329" s="426">
        <f>++Q329</f>
        <v>647</v>
      </c>
      <c r="Q329" s="1002">
        <v>647</v>
      </c>
      <c r="R329" s="908">
        <v>35</v>
      </c>
      <c r="S329" s="908">
        <v>234</v>
      </c>
      <c r="T329" s="908">
        <v>234</v>
      </c>
      <c r="U329" s="426">
        <f>++V329</f>
        <v>470</v>
      </c>
      <c r="V329" s="1002">
        <v>470</v>
      </c>
      <c r="W329" s="908">
        <v>0</v>
      </c>
      <c r="X329" s="908">
        <v>9</v>
      </c>
      <c r="Y329" s="908">
        <v>0</v>
      </c>
      <c r="Z329" s="426">
        <f>++AA329</f>
        <v>93</v>
      </c>
      <c r="AA329" s="1002">
        <v>93</v>
      </c>
      <c r="AB329" s="139"/>
      <c r="AC329" s="139"/>
      <c r="AD329" s="139"/>
      <c r="AE329" s="426">
        <f>++AF329</f>
        <v>0</v>
      </c>
      <c r="AF329" s="1003"/>
      <c r="AG329" s="139"/>
      <c r="AH329" s="139"/>
      <c r="AI329" s="139"/>
      <c r="AJ329" s="426">
        <f>++AK329</f>
        <v>0</v>
      </c>
      <c r="AK329" s="1003"/>
      <c r="AL329" s="176"/>
      <c r="AM329" s="176"/>
      <c r="AN329" s="176"/>
      <c r="AO329" s="176">
        <f t="shared" si="731"/>
        <v>0</v>
      </c>
      <c r="AP329" s="971"/>
      <c r="AQ329" s="176"/>
      <c r="AR329" s="176"/>
      <c r="AS329" s="176"/>
      <c r="AT329" s="176">
        <f t="shared" si="732"/>
        <v>0</v>
      </c>
      <c r="AU329" s="971"/>
      <c r="AV329" s="176"/>
      <c r="AW329" s="176"/>
      <c r="AX329" s="176"/>
      <c r="AY329" s="176">
        <f t="shared" si="733"/>
        <v>0</v>
      </c>
      <c r="AZ329" s="971"/>
      <c r="BA329" s="176"/>
      <c r="BB329" s="176"/>
      <c r="BC329" s="176"/>
      <c r="BD329" s="176">
        <f t="shared" si="734"/>
        <v>0</v>
      </c>
      <c r="BE329" s="971"/>
      <c r="BF329" s="176"/>
      <c r="BG329" s="176"/>
      <c r="BH329" s="551"/>
      <c r="BI329" s="176">
        <f>BJ329</f>
        <v>0</v>
      </c>
      <c r="BJ329" s="971"/>
      <c r="BK329" s="176"/>
      <c r="BL329" s="176"/>
      <c r="BM329" s="176"/>
      <c r="BN329" s="176">
        <f>BO329</f>
        <v>0</v>
      </c>
      <c r="BO329" s="971"/>
      <c r="BP329" s="971"/>
      <c r="BQ329" s="971"/>
      <c r="BR329" s="971"/>
      <c r="BS329" s="229"/>
    </row>
    <row r="330" spans="1:71" s="224" customFormat="1" ht="15" hidden="1" outlineLevel="1">
      <c r="A330" s="424" t="s">
        <v>115</v>
      </c>
      <c r="B330" s="363"/>
      <c r="C330" s="1002">
        <v>2</v>
      </c>
      <c r="D330" s="1002">
        <v>328</v>
      </c>
      <c r="E330" s="1002">
        <v>0</v>
      </c>
      <c r="F330" s="1003"/>
      <c r="G330" s="1003"/>
      <c r="H330" s="139"/>
      <c r="I330" s="908">
        <v>0</v>
      </c>
      <c r="J330" s="908">
        <v>0</v>
      </c>
      <c r="K330" s="426">
        <f>++L330</f>
        <v>0</v>
      </c>
      <c r="L330" s="1002">
        <v>0</v>
      </c>
      <c r="M330" s="139"/>
      <c r="N330" s="908">
        <v>1</v>
      </c>
      <c r="O330" s="908">
        <v>1</v>
      </c>
      <c r="P330" s="426">
        <f>++Q330</f>
        <v>1</v>
      </c>
      <c r="Q330" s="1002">
        <v>1</v>
      </c>
      <c r="R330" s="908">
        <v>0</v>
      </c>
      <c r="S330" s="908">
        <v>50</v>
      </c>
      <c r="T330" s="908">
        <v>173</v>
      </c>
      <c r="U330" s="426">
        <f>++V330</f>
        <v>350</v>
      </c>
      <c r="V330" s="1002">
        <v>350</v>
      </c>
      <c r="W330" s="908">
        <v>155</v>
      </c>
      <c r="X330" s="908">
        <v>157</v>
      </c>
      <c r="Y330" s="908">
        <v>755</v>
      </c>
      <c r="Z330" s="426">
        <f>++AA330</f>
        <v>902</v>
      </c>
      <c r="AA330" s="1002">
        <v>902</v>
      </c>
      <c r="AB330" s="908">
        <v>157</v>
      </c>
      <c r="AC330" s="908">
        <v>216</v>
      </c>
      <c r="AD330" s="908">
        <v>369</v>
      </c>
      <c r="AE330" s="426">
        <f>++AF330</f>
        <v>429</v>
      </c>
      <c r="AF330" s="1002">
        <v>429</v>
      </c>
      <c r="AG330" s="908">
        <v>153</v>
      </c>
      <c r="AH330" s="908">
        <v>154</v>
      </c>
      <c r="AI330" s="908">
        <v>570</v>
      </c>
      <c r="AJ330" s="426">
        <f>++AK330</f>
        <v>650</v>
      </c>
      <c r="AK330" s="1002">
        <v>650</v>
      </c>
      <c r="AL330" s="891">
        <v>3</v>
      </c>
      <c r="AM330" s="891">
        <v>93</v>
      </c>
      <c r="AN330" s="891">
        <v>217</v>
      </c>
      <c r="AO330" s="176">
        <f t="shared" si="731"/>
        <v>234</v>
      </c>
      <c r="AP330" s="992">
        <v>234</v>
      </c>
      <c r="AQ330" s="891">
        <v>123</v>
      </c>
      <c r="AR330" s="891">
        <v>124</v>
      </c>
      <c r="AS330" s="891">
        <v>210</v>
      </c>
      <c r="AT330" s="176">
        <f t="shared" si="732"/>
        <v>264</v>
      </c>
      <c r="AU330" s="992">
        <v>264</v>
      </c>
      <c r="AV330" s="891">
        <v>102</v>
      </c>
      <c r="AW330" s="891">
        <v>398</v>
      </c>
      <c r="AX330" s="891">
        <v>518</v>
      </c>
      <c r="AY330" s="176">
        <f t="shared" si="733"/>
        <v>570</v>
      </c>
      <c r="AZ330" s="992">
        <v>570</v>
      </c>
      <c r="BA330" s="891">
        <v>126</v>
      </c>
      <c r="BB330" s="891">
        <v>244</v>
      </c>
      <c r="BC330" s="891">
        <v>353</v>
      </c>
      <c r="BD330" s="176">
        <f t="shared" si="734"/>
        <v>404</v>
      </c>
      <c r="BE330" s="992">
        <v>404</v>
      </c>
      <c r="BF330" s="891">
        <v>267</v>
      </c>
      <c r="BG330" s="891">
        <v>550</v>
      </c>
      <c r="BH330" s="892">
        <v>702</v>
      </c>
      <c r="BI330" s="176">
        <f>BJ330</f>
        <v>0</v>
      </c>
      <c r="BJ330" s="971"/>
      <c r="BK330" s="176"/>
      <c r="BL330" s="176"/>
      <c r="BM330" s="176"/>
      <c r="BN330" s="176">
        <f>BO330</f>
        <v>0</v>
      </c>
      <c r="BO330" s="971"/>
      <c r="BP330" s="971"/>
      <c r="BQ330" s="971"/>
      <c r="BR330" s="971"/>
      <c r="BS330" s="229"/>
    </row>
    <row r="331" spans="1:71" s="224" customFormat="1" ht="15" hidden="1" outlineLevel="1">
      <c r="A331" s="424" t="s">
        <v>310</v>
      </c>
      <c r="B331" s="363"/>
      <c r="C331" s="1003"/>
      <c r="D331" s="1003"/>
      <c r="E331" s="1003"/>
      <c r="F331" s="1003"/>
      <c r="G331" s="1003"/>
      <c r="H331" s="139"/>
      <c r="I331" s="139"/>
      <c r="J331" s="139"/>
      <c r="K331" s="139"/>
      <c r="L331" s="1003"/>
      <c r="M331" s="139"/>
      <c r="N331" s="139"/>
      <c r="O331" s="139"/>
      <c r="P331" s="139"/>
      <c r="Q331" s="1003"/>
      <c r="R331" s="139"/>
      <c r="S331" s="139"/>
      <c r="T331" s="139"/>
      <c r="U331" s="139"/>
      <c r="V331" s="1003"/>
      <c r="W331" s="139"/>
      <c r="X331" s="139"/>
      <c r="Y331" s="139"/>
      <c r="Z331" s="139"/>
      <c r="AA331" s="1003"/>
      <c r="AB331" s="139"/>
      <c r="AC331" s="139"/>
      <c r="AD331" s="139"/>
      <c r="AE331" s="139"/>
      <c r="AF331" s="1003"/>
      <c r="AG331" s="139"/>
      <c r="AH331" s="139"/>
      <c r="AI331" s="139"/>
      <c r="AJ331" s="139"/>
      <c r="AK331" s="1003"/>
      <c r="AL331" s="891">
        <f>408-1787</f>
        <v>-1379</v>
      </c>
      <c r="AM331" s="891">
        <f>685-2108</f>
        <v>-1423</v>
      </c>
      <c r="AN331" s="891">
        <f>1115-2554</f>
        <v>-1439</v>
      </c>
      <c r="AO331" s="176">
        <f t="shared" si="731"/>
        <v>-1178</v>
      </c>
      <c r="AP331" s="992">
        <f>2085-3263</f>
        <v>-1178</v>
      </c>
      <c r="AQ331" s="891">
        <f>725-956</f>
        <v>-231</v>
      </c>
      <c r="AR331" s="891">
        <f>-2376+1679</f>
        <v>-697</v>
      </c>
      <c r="AS331" s="891">
        <f>2625-3434</f>
        <v>-809</v>
      </c>
      <c r="AT331" s="176">
        <f t="shared" si="732"/>
        <v>-1183</v>
      </c>
      <c r="AU331" s="992">
        <f>4099-5282</f>
        <v>-1183</v>
      </c>
      <c r="AV331" s="891">
        <f>638-1161</f>
        <v>-523</v>
      </c>
      <c r="AW331" s="891">
        <f>-2537+1270</f>
        <v>-1267</v>
      </c>
      <c r="AX331" s="891">
        <f>1849-3552</f>
        <v>-1703</v>
      </c>
      <c r="AY331" s="176">
        <f t="shared" si="733"/>
        <v>-1707</v>
      </c>
      <c r="AZ331" s="992">
        <f>2190-3897</f>
        <v>-1707</v>
      </c>
      <c r="BA331" s="891">
        <f>418-315</f>
        <v>103</v>
      </c>
      <c r="BB331" s="891">
        <f>-588+728</f>
        <v>140</v>
      </c>
      <c r="BC331" s="891">
        <f>1276-744</f>
        <v>532</v>
      </c>
      <c r="BD331" s="176">
        <f t="shared" si="734"/>
        <v>645</v>
      </c>
      <c r="BE331" s="992">
        <f>1641-996</f>
        <v>645</v>
      </c>
      <c r="BF331" s="891">
        <f>379-251</f>
        <v>128</v>
      </c>
      <c r="BG331" s="891">
        <f>952-512</f>
        <v>440</v>
      </c>
      <c r="BH331" s="892">
        <f>1482-937</f>
        <v>545</v>
      </c>
      <c r="BI331" s="176"/>
      <c r="BJ331" s="971"/>
      <c r="BK331" s="176"/>
      <c r="BL331" s="176"/>
      <c r="BM331" s="176"/>
      <c r="BN331" s="176"/>
      <c r="BO331" s="971"/>
      <c r="BP331" s="971"/>
      <c r="BQ331" s="971"/>
      <c r="BR331" s="971"/>
      <c r="BS331" s="229"/>
    </row>
    <row r="332" spans="1:71" s="224" customFormat="1" ht="15" hidden="1" outlineLevel="1">
      <c r="A332" s="424" t="s">
        <v>116</v>
      </c>
      <c r="B332" s="363"/>
      <c r="C332" s="1002">
        <v>212</v>
      </c>
      <c r="D332" s="1002">
        <v>196</v>
      </c>
      <c r="E332" s="1002">
        <v>728</v>
      </c>
      <c r="F332" s="1002">
        <v>1859</v>
      </c>
      <c r="G332" s="1002">
        <v>6515</v>
      </c>
      <c r="H332" s="908">
        <v>4450</v>
      </c>
      <c r="I332" s="908">
        <v>4759</v>
      </c>
      <c r="J332" s="908">
        <v>8456</v>
      </c>
      <c r="K332" s="426">
        <f t="shared" si="735" ref="K332:K341">++L332</f>
        <v>8475</v>
      </c>
      <c r="L332" s="1002">
        <v>8475</v>
      </c>
      <c r="M332" s="908">
        <v>85</v>
      </c>
      <c r="N332" s="908">
        <v>420</v>
      </c>
      <c r="O332" s="908">
        <v>678</v>
      </c>
      <c r="P332" s="426">
        <f t="shared" si="736" ref="P332:P341">++Q332</f>
        <v>766</v>
      </c>
      <c r="Q332" s="1002">
        <v>766</v>
      </c>
      <c r="R332" s="908">
        <v>277</v>
      </c>
      <c r="S332" s="908">
        <v>736</v>
      </c>
      <c r="T332" s="908">
        <v>946</v>
      </c>
      <c r="U332" s="426">
        <f t="shared" si="737" ref="U332:U341">++V332</f>
        <v>1399</v>
      </c>
      <c r="V332" s="1002">
        <v>1399</v>
      </c>
      <c r="W332" s="908">
        <v>228</v>
      </c>
      <c r="X332" s="908">
        <v>1311</v>
      </c>
      <c r="Y332" s="908">
        <v>1714</v>
      </c>
      <c r="Z332" s="426">
        <f t="shared" si="738" ref="Z332:Z341">++AA332</f>
        <v>2212</v>
      </c>
      <c r="AA332" s="1002">
        <v>2212</v>
      </c>
      <c r="AB332" s="908">
        <v>50</v>
      </c>
      <c r="AC332" s="908">
        <v>878</v>
      </c>
      <c r="AD332" s="908">
        <v>880</v>
      </c>
      <c r="AE332" s="426">
        <f t="shared" si="739" ref="AE332:AE341">++AF332</f>
        <v>1670</v>
      </c>
      <c r="AF332" s="1002">
        <v>1670</v>
      </c>
      <c r="AG332" s="908">
        <v>155</v>
      </c>
      <c r="AH332" s="908">
        <v>203</v>
      </c>
      <c r="AI332" s="908">
        <v>437</v>
      </c>
      <c r="AJ332" s="426">
        <f t="shared" si="740" ref="AJ332:AJ341">++AK332</f>
        <v>622</v>
      </c>
      <c r="AK332" s="1002">
        <v>622</v>
      </c>
      <c r="AL332" s="176"/>
      <c r="AM332" s="891">
        <v>2</v>
      </c>
      <c r="AN332" s="891">
        <v>3</v>
      </c>
      <c r="AO332" s="176">
        <f t="shared" si="741" ref="AO332:AO341">AP332</f>
        <v>4</v>
      </c>
      <c r="AP332" s="992">
        <v>4</v>
      </c>
      <c r="AQ332" s="176"/>
      <c r="AR332" s="891">
        <v>2</v>
      </c>
      <c r="AS332" s="891">
        <v>2</v>
      </c>
      <c r="AT332" s="176">
        <f t="shared" si="742" ref="AT332:AT341">AU332</f>
        <v>4</v>
      </c>
      <c r="AU332" s="992">
        <v>4</v>
      </c>
      <c r="AV332" s="176"/>
      <c r="AW332" s="891">
        <v>2</v>
      </c>
      <c r="AX332" s="891">
        <v>2</v>
      </c>
      <c r="AY332" s="176">
        <f t="shared" si="743" ref="AY332:AY341">AZ332</f>
        <v>3</v>
      </c>
      <c r="AZ332" s="992">
        <v>3</v>
      </c>
      <c r="BA332" s="176"/>
      <c r="BB332" s="891">
        <v>2</v>
      </c>
      <c r="BC332" s="891">
        <v>2</v>
      </c>
      <c r="BD332" s="176">
        <f t="shared" si="744" ref="BD332:BD341">BE332</f>
        <v>3</v>
      </c>
      <c r="BE332" s="992">
        <v>3</v>
      </c>
      <c r="BF332" s="176"/>
      <c r="BG332" s="176"/>
      <c r="BH332" s="892">
        <v>2</v>
      </c>
      <c r="BI332" s="176">
        <f t="shared" si="745" ref="BI332:BI341">BJ332</f>
        <v>0</v>
      </c>
      <c r="BJ332" s="971"/>
      <c r="BK332" s="176"/>
      <c r="BL332" s="176"/>
      <c r="BM332" s="176"/>
      <c r="BN332" s="176">
        <f t="shared" si="746" ref="BN332:BN341">BO332</f>
        <v>0</v>
      </c>
      <c r="BO332" s="971"/>
      <c r="BP332" s="971"/>
      <c r="BQ332" s="971"/>
      <c r="BR332" s="971"/>
      <c r="BS332" s="229"/>
    </row>
    <row r="333" spans="1:71" s="224" customFormat="1" ht="15" hidden="1" outlineLevel="1">
      <c r="A333" s="424" t="s">
        <v>117</v>
      </c>
      <c r="B333" s="363"/>
      <c r="C333" s="1002">
        <v>-7521</v>
      </c>
      <c r="D333" s="1002">
        <v>-9943</v>
      </c>
      <c r="E333" s="1002">
        <v>-8392</v>
      </c>
      <c r="F333" s="1002">
        <v>-19533</v>
      </c>
      <c r="G333" s="1002">
        <v>-22967</v>
      </c>
      <c r="H333" s="908">
        <v>-4597</v>
      </c>
      <c r="I333" s="908">
        <v>-7000</v>
      </c>
      <c r="J333" s="908">
        <v>-8959</v>
      </c>
      <c r="K333" s="426">
        <f t="shared" si="735"/>
        <v>-10978</v>
      </c>
      <c r="L333" s="1002">
        <v>-10978</v>
      </c>
      <c r="M333" s="908">
        <v>-1442</v>
      </c>
      <c r="N333" s="908">
        <v>-3004</v>
      </c>
      <c r="O333" s="908">
        <v>-3919</v>
      </c>
      <c r="P333" s="426">
        <f t="shared" si="736"/>
        <v>-6507</v>
      </c>
      <c r="Q333" s="1002">
        <v>-6507</v>
      </c>
      <c r="R333" s="908">
        <v>-1911</v>
      </c>
      <c r="S333" s="908">
        <v>-3827</v>
      </c>
      <c r="T333" s="908">
        <v>-4871</v>
      </c>
      <c r="U333" s="426">
        <f t="shared" si="737"/>
        <v>-10890</v>
      </c>
      <c r="V333" s="1002">
        <v>-10890</v>
      </c>
      <c r="W333" s="908">
        <v>-3726</v>
      </c>
      <c r="X333" s="908">
        <v>-5662</v>
      </c>
      <c r="Y333" s="908">
        <v>-6827</v>
      </c>
      <c r="Z333" s="426">
        <f t="shared" si="738"/>
        <v>-9867</v>
      </c>
      <c r="AA333" s="1002">
        <v>-9867</v>
      </c>
      <c r="AB333" s="908">
        <v>-3975</v>
      </c>
      <c r="AC333" s="908">
        <v>-6798</v>
      </c>
      <c r="AD333" s="908">
        <v>-7845</v>
      </c>
      <c r="AE333" s="426">
        <f t="shared" si="739"/>
        <v>-9086</v>
      </c>
      <c r="AF333" s="1002">
        <v>-9086</v>
      </c>
      <c r="AG333" s="908">
        <v>-2548</v>
      </c>
      <c r="AH333" s="908">
        <v>-4352</v>
      </c>
      <c r="AI333" s="908">
        <v>-5908</v>
      </c>
      <c r="AJ333" s="426">
        <f t="shared" si="740"/>
        <v>-6934</v>
      </c>
      <c r="AK333" s="1002">
        <v>-6934</v>
      </c>
      <c r="AL333" s="891">
        <v>-1817</v>
      </c>
      <c r="AM333" s="891">
        <v>-2691</v>
      </c>
      <c r="AN333" s="891">
        <v>-3710</v>
      </c>
      <c r="AO333" s="176">
        <f t="shared" si="741"/>
        <v>-4772</v>
      </c>
      <c r="AP333" s="992">
        <v>-4772</v>
      </c>
      <c r="AQ333" s="891">
        <v>-2475</v>
      </c>
      <c r="AR333" s="891">
        <v>-3365</v>
      </c>
      <c r="AS333" s="891">
        <v>-4187</v>
      </c>
      <c r="AT333" s="176">
        <f t="shared" si="742"/>
        <v>-5813</v>
      </c>
      <c r="AU333" s="992">
        <v>-5813</v>
      </c>
      <c r="AV333" s="891">
        <v>-707</v>
      </c>
      <c r="AW333" s="891">
        <v>-2395</v>
      </c>
      <c r="AX333" s="891">
        <v>-2961</v>
      </c>
      <c r="AY333" s="176">
        <f t="shared" si="743"/>
        <v>-3514</v>
      </c>
      <c r="AZ333" s="992">
        <v>-3514</v>
      </c>
      <c r="BA333" s="891">
        <v>-1090</v>
      </c>
      <c r="BB333" s="891">
        <v>-1817</v>
      </c>
      <c r="BC333" s="891">
        <v>-2359</v>
      </c>
      <c r="BD333" s="176">
        <f t="shared" si="744"/>
        <v>-2801</v>
      </c>
      <c r="BE333" s="992">
        <v>-2801</v>
      </c>
      <c r="BF333" s="891">
        <v>-2127</v>
      </c>
      <c r="BG333" s="891">
        <v>-3357</v>
      </c>
      <c r="BH333" s="892">
        <v>-4589</v>
      </c>
      <c r="BI333" s="176">
        <f t="shared" si="745"/>
        <v>0</v>
      </c>
      <c r="BJ333" s="971"/>
      <c r="BK333" s="176"/>
      <c r="BL333" s="176"/>
      <c r="BM333" s="176"/>
      <c r="BN333" s="176">
        <f t="shared" si="746"/>
        <v>0</v>
      </c>
      <c r="BO333" s="971"/>
      <c r="BP333" s="971"/>
      <c r="BQ333" s="971"/>
      <c r="BR333" s="971"/>
      <c r="BS333" s="229"/>
    </row>
    <row r="334" spans="1:71" s="224" customFormat="1" ht="15" hidden="1" outlineLevel="1">
      <c r="A334" s="424" t="s">
        <v>118</v>
      </c>
      <c r="B334" s="363"/>
      <c r="C334" s="1002">
        <v>-2</v>
      </c>
      <c r="D334" s="1002">
        <v>-330</v>
      </c>
      <c r="E334" s="1002">
        <v>0</v>
      </c>
      <c r="F334" s="1003"/>
      <c r="G334" s="1002">
        <v>0</v>
      </c>
      <c r="H334" s="139"/>
      <c r="I334" s="139"/>
      <c r="J334" s="908">
        <v>0</v>
      </c>
      <c r="K334" s="426">
        <f t="shared" si="735"/>
        <v>-5</v>
      </c>
      <c r="L334" s="1002">
        <v>-5</v>
      </c>
      <c r="M334" s="908">
        <v>0</v>
      </c>
      <c r="N334" s="908">
        <v>0</v>
      </c>
      <c r="O334" s="908">
        <v>-67</v>
      </c>
      <c r="P334" s="426">
        <f t="shared" si="736"/>
        <v>-454</v>
      </c>
      <c r="Q334" s="1002">
        <v>-454</v>
      </c>
      <c r="R334" s="908">
        <v>-364</v>
      </c>
      <c r="S334" s="908">
        <v>-691</v>
      </c>
      <c r="T334" s="908">
        <v>-868</v>
      </c>
      <c r="U334" s="426">
        <f t="shared" si="737"/>
        <v>-1079</v>
      </c>
      <c r="V334" s="1002">
        <v>-1079</v>
      </c>
      <c r="W334" s="908">
        <v>-157</v>
      </c>
      <c r="X334" s="908">
        <v>-178</v>
      </c>
      <c r="Y334" s="908">
        <v>-391</v>
      </c>
      <c r="Z334" s="426">
        <f t="shared" si="738"/>
        <v>-446</v>
      </c>
      <c r="AA334" s="1002">
        <v>-446</v>
      </c>
      <c r="AB334" s="908">
        <v>-166</v>
      </c>
      <c r="AC334" s="908">
        <v>-233</v>
      </c>
      <c r="AD334" s="908">
        <v>-338</v>
      </c>
      <c r="AE334" s="426">
        <f t="shared" si="739"/>
        <v>-440</v>
      </c>
      <c r="AF334" s="1002">
        <v>-440</v>
      </c>
      <c r="AG334" s="908">
        <v>-151</v>
      </c>
      <c r="AH334" s="908">
        <v>-181</v>
      </c>
      <c r="AI334" s="908">
        <v>-321</v>
      </c>
      <c r="AJ334" s="426">
        <f t="shared" si="740"/>
        <v>-347</v>
      </c>
      <c r="AK334" s="1002">
        <v>-347</v>
      </c>
      <c r="AL334" s="891">
        <v>-6</v>
      </c>
      <c r="AM334" s="891">
        <v>-150</v>
      </c>
      <c r="AN334" s="891">
        <v>-275</v>
      </c>
      <c r="AO334" s="176">
        <f t="shared" si="741"/>
        <v>-498</v>
      </c>
      <c r="AP334" s="992">
        <v>-498</v>
      </c>
      <c r="AQ334" s="891">
        <v>-126</v>
      </c>
      <c r="AR334" s="891">
        <v>-258</v>
      </c>
      <c r="AS334" s="891">
        <v>-458</v>
      </c>
      <c r="AT334" s="176">
        <f t="shared" si="742"/>
        <v>-492</v>
      </c>
      <c r="AU334" s="992">
        <v>-492</v>
      </c>
      <c r="AV334" s="891">
        <v>-114</v>
      </c>
      <c r="AW334" s="891">
        <v>-320</v>
      </c>
      <c r="AX334" s="891">
        <v>-414</v>
      </c>
      <c r="AY334" s="176">
        <f t="shared" si="743"/>
        <v>-461</v>
      </c>
      <c r="AZ334" s="992">
        <v>-461</v>
      </c>
      <c r="BA334" s="891">
        <v>-134</v>
      </c>
      <c r="BB334" s="891">
        <v>-191</v>
      </c>
      <c r="BC334" s="891">
        <v>-299</v>
      </c>
      <c r="BD334" s="176">
        <f t="shared" si="744"/>
        <v>-357</v>
      </c>
      <c r="BE334" s="992">
        <v>-357</v>
      </c>
      <c r="BF334" s="891">
        <v>-73</v>
      </c>
      <c r="BG334" s="891">
        <v>-179</v>
      </c>
      <c r="BH334" s="892">
        <v>-333</v>
      </c>
      <c r="BI334" s="176">
        <f t="shared" si="745"/>
        <v>0</v>
      </c>
      <c r="BJ334" s="971"/>
      <c r="BK334" s="176"/>
      <c r="BL334" s="176"/>
      <c r="BM334" s="176"/>
      <c r="BN334" s="176">
        <f t="shared" si="746"/>
        <v>0</v>
      </c>
      <c r="BO334" s="971"/>
      <c r="BP334" s="971"/>
      <c r="BQ334" s="971"/>
      <c r="BR334" s="971"/>
      <c r="BS334" s="229"/>
    </row>
    <row r="335" spans="1:71" s="224" customFormat="1" ht="15" hidden="1" outlineLevel="1">
      <c r="A335" s="424" t="s">
        <v>119</v>
      </c>
      <c r="B335" s="363"/>
      <c r="C335" s="1002">
        <v>-4167</v>
      </c>
      <c r="D335" s="1002">
        <v>-2010</v>
      </c>
      <c r="E335" s="1002">
        <v>-18995</v>
      </c>
      <c r="F335" s="1002">
        <v>-16550</v>
      </c>
      <c r="G335" s="1002">
        <v>-6756</v>
      </c>
      <c r="H335" s="139"/>
      <c r="I335" s="139"/>
      <c r="J335" s="908">
        <v>-3564</v>
      </c>
      <c r="K335" s="426">
        <f t="shared" si="735"/>
        <v>-3564</v>
      </c>
      <c r="L335" s="1002">
        <v>-3564</v>
      </c>
      <c r="M335" s="139"/>
      <c r="N335" s="139"/>
      <c r="O335" s="139"/>
      <c r="P335" s="426">
        <f t="shared" si="736"/>
        <v>0</v>
      </c>
      <c r="Q335" s="1002">
        <v>0</v>
      </c>
      <c r="R335" s="139"/>
      <c r="S335" s="139"/>
      <c r="T335" s="139"/>
      <c r="U335" s="426">
        <f t="shared" si="737"/>
        <v>0</v>
      </c>
      <c r="V335" s="1002">
        <v>0</v>
      </c>
      <c r="W335" s="139"/>
      <c r="X335" s="139"/>
      <c r="Y335" s="139"/>
      <c r="Z335" s="426">
        <f t="shared" si="738"/>
        <v>0</v>
      </c>
      <c r="AA335" s="1003"/>
      <c r="AB335" s="139"/>
      <c r="AC335" s="139"/>
      <c r="AD335" s="139"/>
      <c r="AE335" s="426">
        <f t="shared" si="739"/>
        <v>0</v>
      </c>
      <c r="AF335" s="1003"/>
      <c r="AG335" s="139"/>
      <c r="AH335" s="139"/>
      <c r="AI335" s="139"/>
      <c r="AJ335" s="426">
        <f t="shared" si="740"/>
        <v>0</v>
      </c>
      <c r="AK335" s="1003"/>
      <c r="AL335" s="176"/>
      <c r="AM335" s="176"/>
      <c r="AN335" s="176"/>
      <c r="AO335" s="176">
        <f t="shared" si="741"/>
        <v>0</v>
      </c>
      <c r="AP335" s="971"/>
      <c r="AQ335" s="176"/>
      <c r="AR335" s="176"/>
      <c r="AS335" s="176"/>
      <c r="AT335" s="176">
        <f t="shared" si="742"/>
        <v>0</v>
      </c>
      <c r="AU335" s="971"/>
      <c r="AV335" s="176"/>
      <c r="AW335" s="176"/>
      <c r="AX335" s="176"/>
      <c r="AY335" s="176">
        <f t="shared" si="743"/>
        <v>0</v>
      </c>
      <c r="AZ335" s="971"/>
      <c r="BA335" s="176"/>
      <c r="BB335" s="176"/>
      <c r="BC335" s="176"/>
      <c r="BD335" s="176">
        <f t="shared" si="744"/>
        <v>0</v>
      </c>
      <c r="BE335" s="971"/>
      <c r="BF335" s="176"/>
      <c r="BG335" s="891">
        <v>1</v>
      </c>
      <c r="BH335" s="551"/>
      <c r="BI335" s="176">
        <f t="shared" si="745"/>
        <v>0</v>
      </c>
      <c r="BJ335" s="971"/>
      <c r="BK335" s="176"/>
      <c r="BL335" s="176"/>
      <c r="BM335" s="176"/>
      <c r="BN335" s="176">
        <f t="shared" si="746"/>
        <v>0</v>
      </c>
      <c r="BO335" s="971"/>
      <c r="BP335" s="971"/>
      <c r="BQ335" s="971"/>
      <c r="BR335" s="971"/>
      <c r="BS335" s="229"/>
    </row>
    <row r="336" spans="1:71" s="224" customFormat="1" ht="15" hidden="1" outlineLevel="1">
      <c r="A336" s="424" t="s">
        <v>120</v>
      </c>
      <c r="B336" s="363"/>
      <c r="C336" s="1002">
        <v>-1214</v>
      </c>
      <c r="D336" s="1002">
        <v>-312</v>
      </c>
      <c r="E336" s="1002">
        <v>647</v>
      </c>
      <c r="F336" s="1003"/>
      <c r="G336" s="1003"/>
      <c r="H336" s="139"/>
      <c r="I336" s="139"/>
      <c r="J336" s="139"/>
      <c r="K336" s="426">
        <f t="shared" si="735"/>
        <v>0</v>
      </c>
      <c r="L336" s="1003"/>
      <c r="M336" s="139"/>
      <c r="N336" s="139"/>
      <c r="O336" s="139"/>
      <c r="P336" s="426">
        <f t="shared" si="736"/>
        <v>0</v>
      </c>
      <c r="Q336" s="1003"/>
      <c r="R336" s="139"/>
      <c r="S336" s="139"/>
      <c r="T336" s="139"/>
      <c r="U336" s="426">
        <f t="shared" si="737"/>
        <v>0</v>
      </c>
      <c r="V336" s="1003"/>
      <c r="W336" s="139"/>
      <c r="X336" s="139"/>
      <c r="Y336" s="139"/>
      <c r="Z336" s="426">
        <f t="shared" si="738"/>
        <v>0</v>
      </c>
      <c r="AA336" s="1003"/>
      <c r="AB336" s="139"/>
      <c r="AC336" s="139"/>
      <c r="AD336" s="139"/>
      <c r="AE336" s="426">
        <f t="shared" si="739"/>
        <v>0</v>
      </c>
      <c r="AF336" s="1003"/>
      <c r="AG336" s="139"/>
      <c r="AH336" s="139"/>
      <c r="AI336" s="139"/>
      <c r="AJ336" s="426">
        <f t="shared" si="740"/>
        <v>0</v>
      </c>
      <c r="AK336" s="1003"/>
      <c r="AL336" s="176"/>
      <c r="AM336" s="176"/>
      <c r="AN336" s="176"/>
      <c r="AO336" s="176">
        <f t="shared" si="741"/>
        <v>0</v>
      </c>
      <c r="AP336" s="971"/>
      <c r="AQ336" s="176"/>
      <c r="AR336" s="176"/>
      <c r="AS336" s="176"/>
      <c r="AT336" s="176">
        <f t="shared" si="742"/>
        <v>0</v>
      </c>
      <c r="AU336" s="971"/>
      <c r="AV336" s="176"/>
      <c r="AW336" s="176"/>
      <c r="AX336" s="176"/>
      <c r="AY336" s="176">
        <f t="shared" si="743"/>
        <v>0</v>
      </c>
      <c r="AZ336" s="971"/>
      <c r="BA336" s="176"/>
      <c r="BB336" s="176"/>
      <c r="BC336" s="176"/>
      <c r="BD336" s="176">
        <f t="shared" si="744"/>
        <v>0</v>
      </c>
      <c r="BE336" s="971"/>
      <c r="BF336" s="176"/>
      <c r="BG336" s="176"/>
      <c r="BH336" s="551"/>
      <c r="BI336" s="176">
        <f t="shared" si="745"/>
        <v>0</v>
      </c>
      <c r="BJ336" s="971"/>
      <c r="BK336" s="176"/>
      <c r="BL336" s="176"/>
      <c r="BM336" s="176"/>
      <c r="BN336" s="176">
        <f t="shared" si="746"/>
        <v>0</v>
      </c>
      <c r="BO336" s="971"/>
      <c r="BP336" s="971"/>
      <c r="BQ336" s="971"/>
      <c r="BR336" s="971"/>
      <c r="BS336" s="229"/>
    </row>
    <row r="337" spans="1:71" s="224" customFormat="1" ht="15" hidden="1" outlineLevel="1">
      <c r="A337" s="424" t="s">
        <v>121</v>
      </c>
      <c r="B337" s="363"/>
      <c r="C337" s="1003"/>
      <c r="D337" s="1003"/>
      <c r="E337" s="1003"/>
      <c r="F337" s="1003"/>
      <c r="G337" s="1002">
        <v>-319</v>
      </c>
      <c r="H337" s="908">
        <v>143</v>
      </c>
      <c r="I337" s="908">
        <v>141</v>
      </c>
      <c r="J337" s="908">
        <v>-3690</v>
      </c>
      <c r="K337" s="426">
        <f t="shared" si="735"/>
        <v>272</v>
      </c>
      <c r="L337" s="1002">
        <v>272</v>
      </c>
      <c r="M337" s="908">
        <v>-7</v>
      </c>
      <c r="N337" s="908">
        <v>-31</v>
      </c>
      <c r="O337" s="908">
        <v>-27</v>
      </c>
      <c r="P337" s="426">
        <f t="shared" si="736"/>
        <v>-70</v>
      </c>
      <c r="Q337" s="1002">
        <v>-70</v>
      </c>
      <c r="R337" s="908">
        <v>-123</v>
      </c>
      <c r="S337" s="908">
        <v>-324</v>
      </c>
      <c r="T337" s="908">
        <v>-801</v>
      </c>
      <c r="U337" s="426">
        <f t="shared" si="737"/>
        <v>-1118</v>
      </c>
      <c r="V337" s="1002">
        <v>-1118</v>
      </c>
      <c r="W337" s="908">
        <v>-203</v>
      </c>
      <c r="X337" s="908">
        <v>-514</v>
      </c>
      <c r="Y337" s="908">
        <v>-949</v>
      </c>
      <c r="Z337" s="426">
        <f t="shared" si="738"/>
        <v>-2018</v>
      </c>
      <c r="AA337" s="1002">
        <v>-2018</v>
      </c>
      <c r="AB337" s="908">
        <f>146-125-1772</f>
        <v>-1751</v>
      </c>
      <c r="AC337" s="908">
        <f>358-2705-175</f>
        <v>-2522</v>
      </c>
      <c r="AD337" s="908">
        <f>597-4150-136</f>
        <v>-3689</v>
      </c>
      <c r="AE337" s="426">
        <f t="shared" si="739"/>
        <v>-5262</v>
      </c>
      <c r="AF337" s="1002">
        <f>-4848-414</f>
        <v>-5262</v>
      </c>
      <c r="AG337" s="908">
        <f>-669-442+493</f>
        <v>-618</v>
      </c>
      <c r="AH337" s="908">
        <f>888-1534-616</f>
        <v>-1262</v>
      </c>
      <c r="AI337" s="908">
        <f>1293-2634-682</f>
        <v>-2023</v>
      </c>
      <c r="AJ337" s="426">
        <f t="shared" si="740"/>
        <v>-5054</v>
      </c>
      <c r="AK337" s="1002">
        <f>-4401-653</f>
        <v>-5054</v>
      </c>
      <c r="AL337" s="891">
        <v>-361</v>
      </c>
      <c r="AM337" s="891">
        <v>-293</v>
      </c>
      <c r="AN337" s="891">
        <v>-405</v>
      </c>
      <c r="AO337" s="176">
        <f t="shared" si="741"/>
        <v>-860</v>
      </c>
      <c r="AP337" s="992">
        <v>-860</v>
      </c>
      <c r="AQ337" s="891">
        <v>-201</v>
      </c>
      <c r="AR337" s="891">
        <v>-685</v>
      </c>
      <c r="AS337" s="891">
        <v>-929</v>
      </c>
      <c r="AT337" s="176">
        <f t="shared" si="742"/>
        <v>-1066</v>
      </c>
      <c r="AU337" s="992">
        <v>-1066</v>
      </c>
      <c r="AV337" s="891">
        <v>-138</v>
      </c>
      <c r="AW337" s="891">
        <v>-180</v>
      </c>
      <c r="AX337" s="891">
        <v>-54</v>
      </c>
      <c r="AY337" s="176">
        <f t="shared" si="743"/>
        <v>-227</v>
      </c>
      <c r="AZ337" s="992">
        <v>-227</v>
      </c>
      <c r="BA337" s="891">
        <v>-1074</v>
      </c>
      <c r="BB337" s="891">
        <v>-1247</v>
      </c>
      <c r="BC337" s="891">
        <v>-902</v>
      </c>
      <c r="BD337" s="176">
        <f t="shared" si="744"/>
        <v>-417</v>
      </c>
      <c r="BE337" s="992">
        <v>-417</v>
      </c>
      <c r="BF337" s="891">
        <v>-2119</v>
      </c>
      <c r="BG337" s="891">
        <v>-2284</v>
      </c>
      <c r="BH337" s="892">
        <v>-2682</v>
      </c>
      <c r="BI337" s="176">
        <f t="shared" si="745"/>
        <v>0</v>
      </c>
      <c r="BJ337" s="971"/>
      <c r="BK337" s="176"/>
      <c r="BL337" s="176"/>
      <c r="BM337" s="176"/>
      <c r="BN337" s="176">
        <f t="shared" si="746"/>
        <v>0</v>
      </c>
      <c r="BO337" s="971"/>
      <c r="BP337" s="971"/>
      <c r="BQ337" s="971"/>
      <c r="BR337" s="971"/>
      <c r="BS337" s="229"/>
    </row>
    <row r="338" spans="1:71" s="224" customFormat="1" ht="15" hidden="1" outlineLevel="1">
      <c r="A338" s="424" t="s">
        <v>122</v>
      </c>
      <c r="B338" s="363"/>
      <c r="C338" s="1002">
        <v>-83</v>
      </c>
      <c r="D338" s="1002">
        <v>0</v>
      </c>
      <c r="E338" s="1003"/>
      <c r="F338" s="1003"/>
      <c r="G338" s="1003"/>
      <c r="H338" s="139"/>
      <c r="I338" s="139"/>
      <c r="J338" s="139"/>
      <c r="K338" s="426">
        <f t="shared" si="735"/>
        <v>0</v>
      </c>
      <c r="L338" s="1002">
        <v>0</v>
      </c>
      <c r="M338" s="139"/>
      <c r="N338" s="139"/>
      <c r="O338" s="139"/>
      <c r="P338" s="426">
        <f t="shared" si="736"/>
        <v>-40</v>
      </c>
      <c r="Q338" s="1002">
        <v>-40</v>
      </c>
      <c r="R338" s="139"/>
      <c r="S338" s="139"/>
      <c r="T338" s="139"/>
      <c r="U338" s="426">
        <f t="shared" si="737"/>
        <v>0</v>
      </c>
      <c r="V338" s="1002">
        <v>0</v>
      </c>
      <c r="W338" s="139"/>
      <c r="X338" s="139"/>
      <c r="Y338" s="139"/>
      <c r="Z338" s="426">
        <f t="shared" si="738"/>
        <v>0</v>
      </c>
      <c r="AA338" s="1003"/>
      <c r="AB338" s="139"/>
      <c r="AC338" s="139"/>
      <c r="AD338" s="139"/>
      <c r="AE338" s="426">
        <f t="shared" si="739"/>
        <v>0</v>
      </c>
      <c r="AF338" s="1003"/>
      <c r="AG338" s="139"/>
      <c r="AH338" s="139"/>
      <c r="AI338" s="139"/>
      <c r="AJ338" s="426">
        <f t="shared" si="740"/>
        <v>0</v>
      </c>
      <c r="AK338" s="1003"/>
      <c r="AL338" s="176"/>
      <c r="AM338" s="176"/>
      <c r="AN338" s="176"/>
      <c r="AO338" s="176">
        <f t="shared" si="741"/>
        <v>0</v>
      </c>
      <c r="AP338" s="971"/>
      <c r="AQ338" s="176"/>
      <c r="AR338" s="176"/>
      <c r="AS338" s="176"/>
      <c r="AT338" s="176">
        <f t="shared" si="742"/>
        <v>0</v>
      </c>
      <c r="AU338" s="971"/>
      <c r="AV338" s="176"/>
      <c r="AW338" s="176"/>
      <c r="AX338" s="176"/>
      <c r="AY338" s="176">
        <f t="shared" si="743"/>
        <v>0</v>
      </c>
      <c r="AZ338" s="971"/>
      <c r="BA338" s="176"/>
      <c r="BB338" s="176"/>
      <c r="BC338" s="176"/>
      <c r="BD338" s="176">
        <f t="shared" si="744"/>
        <v>0</v>
      </c>
      <c r="BE338" s="971"/>
      <c r="BF338" s="176"/>
      <c r="BG338" s="176"/>
      <c r="BH338" s="551"/>
      <c r="BI338" s="176">
        <f t="shared" si="745"/>
        <v>0</v>
      </c>
      <c r="BJ338" s="971"/>
      <c r="BK338" s="176"/>
      <c r="BL338" s="176"/>
      <c r="BM338" s="176"/>
      <c r="BN338" s="176">
        <f t="shared" si="746"/>
        <v>0</v>
      </c>
      <c r="BO338" s="971"/>
      <c r="BP338" s="971"/>
      <c r="BQ338" s="971"/>
      <c r="BR338" s="971"/>
      <c r="BS338" s="229"/>
    </row>
    <row r="339" spans="1:71" s="224" customFormat="1" ht="15" hidden="1" outlineLevel="1">
      <c r="A339" s="424" t="s">
        <v>123</v>
      </c>
      <c r="B339" s="363"/>
      <c r="C339" s="1003"/>
      <c r="D339" s="1003"/>
      <c r="E339" s="1003"/>
      <c r="F339" s="1003"/>
      <c r="G339" s="1002">
        <v>-1624</v>
      </c>
      <c r="H339" s="908">
        <v>-320</v>
      </c>
      <c r="I339" s="908">
        <v>-246</v>
      </c>
      <c r="J339" s="908">
        <v>-367</v>
      </c>
      <c r="K339" s="426">
        <f t="shared" si="735"/>
        <v>-636</v>
      </c>
      <c r="L339" s="1002">
        <v>-636</v>
      </c>
      <c r="M339" s="908">
        <v>-1983</v>
      </c>
      <c r="N339" s="908">
        <v>-2200</v>
      </c>
      <c r="O339" s="908">
        <v>-2242</v>
      </c>
      <c r="P339" s="426">
        <f t="shared" si="736"/>
        <v>-2119</v>
      </c>
      <c r="Q339" s="1002">
        <v>-2119</v>
      </c>
      <c r="R339" s="908">
        <v>273</v>
      </c>
      <c r="S339" s="908">
        <v>664</v>
      </c>
      <c r="T339" s="908">
        <v>1203</v>
      </c>
      <c r="U339" s="426">
        <f t="shared" si="737"/>
        <v>1252</v>
      </c>
      <c r="V339" s="1002">
        <v>1252</v>
      </c>
      <c r="W339" s="908">
        <v>-44</v>
      </c>
      <c r="X339" s="908">
        <v>-34</v>
      </c>
      <c r="Y339" s="908">
        <v>-240</v>
      </c>
      <c r="Z339" s="426">
        <f t="shared" si="738"/>
        <v>-621</v>
      </c>
      <c r="AA339" s="1002">
        <v>-621</v>
      </c>
      <c r="AB339" s="908">
        <v>-1</v>
      </c>
      <c r="AC339" s="908">
        <v>-36</v>
      </c>
      <c r="AD339" s="908">
        <v>-141</v>
      </c>
      <c r="AE339" s="426">
        <f t="shared" si="739"/>
        <v>-241</v>
      </c>
      <c r="AF339" s="1002">
        <v>-241</v>
      </c>
      <c r="AG339" s="908">
        <v>-3</v>
      </c>
      <c r="AH339" s="908">
        <v>-14</v>
      </c>
      <c r="AI339" s="908">
        <v>13</v>
      </c>
      <c r="AJ339" s="426">
        <f t="shared" si="740"/>
        <v>-9</v>
      </c>
      <c r="AK339" s="1002">
        <v>-9</v>
      </c>
      <c r="AL339" s="891">
        <v>13</v>
      </c>
      <c r="AM339" s="891">
        <v>21</v>
      </c>
      <c r="AN339" s="891">
        <v>15</v>
      </c>
      <c r="AO339" s="176">
        <f t="shared" si="741"/>
        <v>18</v>
      </c>
      <c r="AP339" s="992">
        <v>18</v>
      </c>
      <c r="AQ339" s="891">
        <v>116</v>
      </c>
      <c r="AR339" s="891">
        <v>155</v>
      </c>
      <c r="AS339" s="891">
        <v>171</v>
      </c>
      <c r="AT339" s="176">
        <f t="shared" si="742"/>
        <v>199</v>
      </c>
      <c r="AU339" s="992">
        <v>199</v>
      </c>
      <c r="AV339" s="891">
        <v>-558</v>
      </c>
      <c r="AW339" s="891">
        <v>-330</v>
      </c>
      <c r="AX339" s="891">
        <v>-159</v>
      </c>
      <c r="AY339" s="176">
        <f t="shared" si="743"/>
        <v>-61</v>
      </c>
      <c r="AZ339" s="992">
        <v>-61</v>
      </c>
      <c r="BA339" s="891">
        <v>-480</v>
      </c>
      <c r="BB339" s="891">
        <v>-289</v>
      </c>
      <c r="BC339" s="891">
        <v>56</v>
      </c>
      <c r="BD339" s="176">
        <f t="shared" si="744"/>
        <v>79</v>
      </c>
      <c r="BE339" s="992">
        <v>79</v>
      </c>
      <c r="BF339" s="891">
        <v>-256</v>
      </c>
      <c r="BG339" s="891">
        <v>-106</v>
      </c>
      <c r="BH339" s="892">
        <v>-92</v>
      </c>
      <c r="BI339" s="176">
        <f t="shared" si="745"/>
        <v>0</v>
      </c>
      <c r="BJ339" s="971"/>
      <c r="BK339" s="176"/>
      <c r="BL339" s="176"/>
      <c r="BM339" s="176"/>
      <c r="BN339" s="176">
        <f t="shared" si="746"/>
        <v>0</v>
      </c>
      <c r="BO339" s="971"/>
      <c r="BP339" s="971"/>
      <c r="BQ339" s="971"/>
      <c r="BR339" s="971"/>
      <c r="BS339" s="229"/>
    </row>
    <row r="340" spans="1:71" s="224" customFormat="1" ht="15" hidden="1" outlineLevel="1">
      <c r="A340" s="424" t="s">
        <v>124</v>
      </c>
      <c r="B340" s="363"/>
      <c r="C340" s="1003"/>
      <c r="D340" s="1003"/>
      <c r="E340" s="1003"/>
      <c r="F340" s="1002">
        <v>5439</v>
      </c>
      <c r="G340" s="1002">
        <v>1037</v>
      </c>
      <c r="H340" s="908">
        <v>-2677</v>
      </c>
      <c r="I340" s="908">
        <v>-3058</v>
      </c>
      <c r="J340" s="908">
        <v>1414</v>
      </c>
      <c r="K340" s="426">
        <f t="shared" si="735"/>
        <v>-3217</v>
      </c>
      <c r="L340" s="1002">
        <v>-3217</v>
      </c>
      <c r="M340" s="908">
        <v>503</v>
      </c>
      <c r="N340" s="908">
        <v>-1001</v>
      </c>
      <c r="O340" s="908">
        <v>-1404</v>
      </c>
      <c r="P340" s="426">
        <f t="shared" si="736"/>
        <v>-1391</v>
      </c>
      <c r="Q340" s="1002">
        <v>-1391</v>
      </c>
      <c r="R340" s="908">
        <v>-189</v>
      </c>
      <c r="S340" s="908">
        <v>-525</v>
      </c>
      <c r="T340" s="908">
        <v>-350</v>
      </c>
      <c r="U340" s="426">
        <f t="shared" si="737"/>
        <v>-416</v>
      </c>
      <c r="V340" s="1002">
        <v>-416</v>
      </c>
      <c r="W340" s="908">
        <v>654</v>
      </c>
      <c r="X340" s="908">
        <v>-129</v>
      </c>
      <c r="Y340" s="908">
        <v>-273</v>
      </c>
      <c r="Z340" s="426">
        <f t="shared" si="738"/>
        <v>-205</v>
      </c>
      <c r="AA340" s="1002">
        <v>-205</v>
      </c>
      <c r="AB340" s="908">
        <v>4578</v>
      </c>
      <c r="AC340" s="908">
        <v>3110</v>
      </c>
      <c r="AD340" s="908">
        <v>1413</v>
      </c>
      <c r="AE340" s="426">
        <f t="shared" si="739"/>
        <v>348</v>
      </c>
      <c r="AF340" s="1002">
        <v>348</v>
      </c>
      <c r="AG340" s="908">
        <v>976</v>
      </c>
      <c r="AH340" s="908">
        <v>495</v>
      </c>
      <c r="AI340" s="908">
        <v>1144</v>
      </c>
      <c r="AJ340" s="426">
        <f t="shared" si="740"/>
        <v>926</v>
      </c>
      <c r="AK340" s="1002">
        <v>926</v>
      </c>
      <c r="AL340" s="891">
        <v>1160</v>
      </c>
      <c r="AM340" s="891">
        <v>459</v>
      </c>
      <c r="AN340" s="891">
        <v>-420</v>
      </c>
      <c r="AO340" s="176">
        <f t="shared" si="741"/>
        <v>-1027</v>
      </c>
      <c r="AP340" s="992">
        <v>-1027</v>
      </c>
      <c r="AQ340" s="891">
        <v>1206</v>
      </c>
      <c r="AR340" s="891">
        <v>2412</v>
      </c>
      <c r="AS340" s="891">
        <v>2123</v>
      </c>
      <c r="AT340" s="176">
        <f t="shared" si="742"/>
        <v>1511</v>
      </c>
      <c r="AU340" s="992">
        <v>1511</v>
      </c>
      <c r="AV340" s="891">
        <v>142</v>
      </c>
      <c r="AW340" s="891">
        <v>1839</v>
      </c>
      <c r="AX340" s="891">
        <v>769</v>
      </c>
      <c r="AY340" s="176">
        <f t="shared" si="743"/>
        <v>-673</v>
      </c>
      <c r="AZ340" s="992">
        <v>-673</v>
      </c>
      <c r="BA340" s="891">
        <v>1756</v>
      </c>
      <c r="BB340" s="891">
        <v>3427</v>
      </c>
      <c r="BC340" s="891">
        <v>2894</v>
      </c>
      <c r="BD340" s="176">
        <f t="shared" si="744"/>
        <v>-401</v>
      </c>
      <c r="BE340" s="992">
        <v>-401</v>
      </c>
      <c r="BF340" s="891">
        <v>1973</v>
      </c>
      <c r="BG340" s="891">
        <v>3375</v>
      </c>
      <c r="BH340" s="892">
        <v>2781</v>
      </c>
      <c r="BI340" s="176">
        <f t="shared" si="745"/>
        <v>0</v>
      </c>
      <c r="BJ340" s="971"/>
      <c r="BK340" s="176"/>
      <c r="BL340" s="176"/>
      <c r="BM340" s="176"/>
      <c r="BN340" s="176">
        <f t="shared" si="746"/>
        <v>0</v>
      </c>
      <c r="BO340" s="971"/>
      <c r="BP340" s="971"/>
      <c r="BQ340" s="971"/>
      <c r="BR340" s="971"/>
      <c r="BS340" s="229"/>
    </row>
    <row r="341" spans="1:71" s="224" customFormat="1" ht="15" hidden="1" outlineLevel="1">
      <c r="A341" s="607" t="s">
        <v>108</v>
      </c>
      <c r="B341" s="365"/>
      <c r="C341" s="1004">
        <v>-72</v>
      </c>
      <c r="D341" s="1004">
        <v>-28</v>
      </c>
      <c r="E341" s="1004">
        <v>-62</v>
      </c>
      <c r="F341" s="1004">
        <v>514</v>
      </c>
      <c r="G341" s="1004">
        <v>-35</v>
      </c>
      <c r="H341" s="911">
        <v>-21</v>
      </c>
      <c r="I341" s="911">
        <v>-116</v>
      </c>
      <c r="J341" s="911">
        <v>10</v>
      </c>
      <c r="K341" s="609">
        <f t="shared" si="735"/>
        <v>30</v>
      </c>
      <c r="L341" s="1004">
        <v>30</v>
      </c>
      <c r="M341" s="911">
        <v>60</v>
      </c>
      <c r="N341" s="911">
        <v>-27</v>
      </c>
      <c r="O341" s="911">
        <v>-31</v>
      </c>
      <c r="P341" s="609">
        <f t="shared" si="736"/>
        <v>-86</v>
      </c>
      <c r="Q341" s="1004">
        <v>-86</v>
      </c>
      <c r="R341" s="911">
        <v>-159</v>
      </c>
      <c r="S341" s="911">
        <v>-33</v>
      </c>
      <c r="T341" s="911">
        <v>-56</v>
      </c>
      <c r="U341" s="609">
        <f t="shared" si="737"/>
        <v>-76</v>
      </c>
      <c r="V341" s="1004">
        <v>-76</v>
      </c>
      <c r="W341" s="911">
        <v>-23</v>
      </c>
      <c r="X341" s="911">
        <v>-42</v>
      </c>
      <c r="Y341" s="911">
        <v>-58</v>
      </c>
      <c r="Z341" s="609">
        <f t="shared" si="738"/>
        <v>-68</v>
      </c>
      <c r="AA341" s="1004">
        <v>-68</v>
      </c>
      <c r="AB341" s="911">
        <v>-34</v>
      </c>
      <c r="AC341" s="911">
        <v>73</v>
      </c>
      <c r="AD341" s="911">
        <v>188</v>
      </c>
      <c r="AE341" s="609">
        <f t="shared" si="739"/>
        <v>176</v>
      </c>
      <c r="AF341" s="1004">
        <v>176</v>
      </c>
      <c r="AG341" s="911">
        <v>-15</v>
      </c>
      <c r="AH341" s="911">
        <v>125</v>
      </c>
      <c r="AI341" s="911">
        <v>15</v>
      </c>
      <c r="AJ341" s="609">
        <f t="shared" si="740"/>
        <v>-123</v>
      </c>
      <c r="AK341" s="1004">
        <v>-123</v>
      </c>
      <c r="AL341" s="884">
        <v>-55</v>
      </c>
      <c r="AM341" s="884">
        <v>-119</v>
      </c>
      <c r="AN341" s="884">
        <v>-185</v>
      </c>
      <c r="AO341" s="177">
        <f t="shared" si="741"/>
        <v>-265</v>
      </c>
      <c r="AP341" s="984">
        <v>-265</v>
      </c>
      <c r="AQ341" s="884">
        <v>-32</v>
      </c>
      <c r="AR341" s="884">
        <v>5</v>
      </c>
      <c r="AS341" s="884">
        <v>-13</v>
      </c>
      <c r="AT341" s="177">
        <f t="shared" si="742"/>
        <v>41</v>
      </c>
      <c r="AU341" s="984">
        <v>41</v>
      </c>
      <c r="AV341" s="884">
        <v>41</v>
      </c>
      <c r="AW341" s="884">
        <v>172</v>
      </c>
      <c r="AX341" s="884">
        <v>158</v>
      </c>
      <c r="AY341" s="177">
        <f t="shared" si="743"/>
        <v>112</v>
      </c>
      <c r="AZ341" s="984">
        <v>112</v>
      </c>
      <c r="BA341" s="884">
        <v>-51</v>
      </c>
      <c r="BB341" s="884">
        <v>-84</v>
      </c>
      <c r="BC341" s="884">
        <v>-160</v>
      </c>
      <c r="BD341" s="177">
        <f t="shared" si="744"/>
        <v>-149</v>
      </c>
      <c r="BE341" s="984">
        <v>-149</v>
      </c>
      <c r="BF341" s="884">
        <v>148</v>
      </c>
      <c r="BG341" s="884">
        <v>256</v>
      </c>
      <c r="BH341" s="905">
        <v>98</v>
      </c>
      <c r="BI341" s="177">
        <f t="shared" si="745"/>
        <v>0</v>
      </c>
      <c r="BJ341" s="973"/>
      <c r="BK341" s="177"/>
      <c r="BL341" s="177"/>
      <c r="BM341" s="177"/>
      <c r="BN341" s="177">
        <f t="shared" si="746"/>
        <v>0</v>
      </c>
      <c r="BO341" s="973"/>
      <c r="BP341" s="973"/>
      <c r="BQ341" s="973"/>
      <c r="BR341" s="973"/>
      <c r="BS341" s="229"/>
    </row>
    <row r="342" spans="1:71" s="44" customFormat="1" ht="15" hidden="1" outlineLevel="1">
      <c r="A342" s="109" t="s">
        <v>125</v>
      </c>
      <c r="B342" s="367"/>
      <c r="C342" s="983">
        <f t="shared" si="747" ref="C342:AU342">SUM(C326:C341)</f>
        <v>-5476</v>
      </c>
      <c r="D342" s="983">
        <f t="shared" si="747"/>
        <v>-7432</v>
      </c>
      <c r="E342" s="983">
        <f t="shared" si="747"/>
        <v>-10829</v>
      </c>
      <c r="F342" s="983">
        <f t="shared" si="747"/>
        <v>-16952</v>
      </c>
      <c r="G342" s="983">
        <f t="shared" si="747"/>
        <v>-11091</v>
      </c>
      <c r="H342" s="111">
        <f t="shared" si="747"/>
        <v>-2123</v>
      </c>
      <c r="I342" s="111">
        <f t="shared" si="747"/>
        <v>-3594</v>
      </c>
      <c r="J342" s="111">
        <f t="shared" si="747"/>
        <v>-4144</v>
      </c>
      <c r="K342" s="111">
        <f t="shared" si="747"/>
        <v>-4241</v>
      </c>
      <c r="L342" s="983">
        <f t="shared" si="747"/>
        <v>-4241</v>
      </c>
      <c r="M342" s="111">
        <f t="shared" si="747"/>
        <v>-2078</v>
      </c>
      <c r="N342" s="111">
        <f t="shared" si="747"/>
        <v>-3566</v>
      </c>
      <c r="O342" s="111">
        <f t="shared" si="747"/>
        <v>-4083</v>
      </c>
      <c r="P342" s="111">
        <f t="shared" si="747"/>
        <v>-4897</v>
      </c>
      <c r="Q342" s="983">
        <f t="shared" si="747"/>
        <v>-4897</v>
      </c>
      <c r="R342" s="111">
        <f t="shared" si="747"/>
        <v>-1487</v>
      </c>
      <c r="S342" s="111">
        <f t="shared" si="747"/>
        <v>-2429</v>
      </c>
      <c r="T342" s="111">
        <f t="shared" si="747"/>
        <v>-2638</v>
      </c>
      <c r="U342" s="111">
        <f t="shared" si="747"/>
        <v>-3855</v>
      </c>
      <c r="V342" s="983">
        <f t="shared" si="747"/>
        <v>-3855</v>
      </c>
      <c r="W342" s="111">
        <f t="shared" si="747"/>
        <v>-1527</v>
      </c>
      <c r="X342" s="111">
        <f t="shared" si="747"/>
        <v>-2517</v>
      </c>
      <c r="Y342" s="111">
        <f t="shared" si="747"/>
        <v>-2887</v>
      </c>
      <c r="Z342" s="111">
        <f t="shared" si="747"/>
        <v>-5431</v>
      </c>
      <c r="AA342" s="983">
        <f t="shared" si="747"/>
        <v>-5431</v>
      </c>
      <c r="AB342" s="111">
        <f t="shared" si="747"/>
        <v>-199</v>
      </c>
      <c r="AC342" s="111">
        <f t="shared" si="747"/>
        <v>-1443</v>
      </c>
      <c r="AD342" s="111">
        <f t="shared" si="747"/>
        <v>-3172</v>
      </c>
      <c r="AE342" s="111">
        <f t="shared" si="747"/>
        <v>-3582</v>
      </c>
      <c r="AF342" s="983">
        <f t="shared" si="747"/>
        <v>-3582</v>
      </c>
      <c r="AG342" s="111">
        <f t="shared" si="747"/>
        <v>-1291</v>
      </c>
      <c r="AH342" s="111">
        <f t="shared" si="747"/>
        <v>-2727</v>
      </c>
      <c r="AI342" s="111">
        <f t="shared" si="747"/>
        <v>-2946</v>
      </c>
      <c r="AJ342" s="111">
        <f t="shared" si="747"/>
        <v>-3171</v>
      </c>
      <c r="AK342" s="983">
        <f t="shared" si="747"/>
        <v>-3171</v>
      </c>
      <c r="AL342" s="25">
        <f t="shared" si="747"/>
        <v>-1716</v>
      </c>
      <c r="AM342" s="25">
        <f t="shared" si="747"/>
        <v>-2120</v>
      </c>
      <c r="AN342" s="25">
        <f t="shared" si="747"/>
        <v>-3511</v>
      </c>
      <c r="AO342" s="25">
        <f t="shared" si="747"/>
        <v>-4619</v>
      </c>
      <c r="AP342" s="982">
        <f t="shared" si="747"/>
        <v>-4619</v>
      </c>
      <c r="AQ342" s="25">
        <f t="shared" si="747"/>
        <v>-969</v>
      </c>
      <c r="AR342" s="25">
        <f t="shared" si="747"/>
        <v>-839</v>
      </c>
      <c r="AS342" s="25">
        <f t="shared" si="747"/>
        <v>-1171</v>
      </c>
      <c r="AT342" s="25">
        <f t="shared" si="747"/>
        <v>-2378</v>
      </c>
      <c r="AU342" s="982">
        <f t="shared" si="747"/>
        <v>-2378</v>
      </c>
      <c r="AV342" s="25">
        <f t="shared" si="748" ref="AV342:AZ342">SUM(AV326:AV341)</f>
        <v>-1210</v>
      </c>
      <c r="AW342" s="25">
        <f t="shared" si="748"/>
        <v>83</v>
      </c>
      <c r="AX342" s="25">
        <f t="shared" si="748"/>
        <v>-847</v>
      </c>
      <c r="AY342" s="25">
        <f t="shared" si="748"/>
        <v>-1540</v>
      </c>
      <c r="AZ342" s="982">
        <f t="shared" si="748"/>
        <v>-1540</v>
      </c>
      <c r="BA342" s="25">
        <f t="shared" si="749" ref="BA342:BJ342">SUM(BA326:BA341)</f>
        <v>105</v>
      </c>
      <c r="BB342" s="25">
        <f t="shared" si="749"/>
        <v>1733</v>
      </c>
      <c r="BC342" s="25">
        <f>SUM(BC326:BC341)</f>
        <v>2229</v>
      </c>
      <c r="BD342" s="25">
        <f t="shared" si="749"/>
        <v>817</v>
      </c>
      <c r="BE342" s="982">
        <f t="shared" si="749"/>
        <v>817</v>
      </c>
      <c r="BF342" s="25">
        <f>SUM(BF326:BF341)</f>
        <v>227</v>
      </c>
      <c r="BG342" s="25">
        <f>SUM(BG326:BG341)</f>
        <v>2294</v>
      </c>
      <c r="BH342" s="749">
        <f>SUM(BH326:BH341)</f>
        <v>1264</v>
      </c>
      <c r="BI342" s="25">
        <f>SUM(BI326:BI341)</f>
        <v>0</v>
      </c>
      <c r="BJ342" s="982">
        <f t="shared" si="749"/>
        <v>0</v>
      </c>
      <c r="BK342" s="25">
        <f t="shared" si="750" ref="BK342:BR342">SUM(BK326:BK341)</f>
        <v>0</v>
      </c>
      <c r="BL342" s="25">
        <f t="shared" si="750"/>
        <v>0</v>
      </c>
      <c r="BM342" s="25">
        <f t="shared" si="750"/>
        <v>0</v>
      </c>
      <c r="BN342" s="25">
        <f t="shared" si="750"/>
        <v>0</v>
      </c>
      <c r="BO342" s="982">
        <f t="shared" si="750"/>
        <v>0</v>
      </c>
      <c r="BP342" s="982">
        <f t="shared" si="750"/>
        <v>0</v>
      </c>
      <c r="BQ342" s="982">
        <f t="shared" si="750"/>
        <v>0</v>
      </c>
      <c r="BR342" s="982">
        <f t="shared" si="750"/>
        <v>0</v>
      </c>
      <c r="BS342" s="100"/>
    </row>
    <row r="343" spans="1:71" s="44" customFormat="1" ht="15" hidden="1" outlineLevel="1">
      <c r="A343" s="368"/>
      <c r="B343" s="369"/>
      <c r="C343" s="978"/>
      <c r="D343" s="978"/>
      <c r="E343" s="978"/>
      <c r="F343" s="978"/>
      <c r="G343" s="978"/>
      <c r="H343" s="185"/>
      <c r="I343" s="185"/>
      <c r="J343" s="185"/>
      <c r="K343" s="185"/>
      <c r="L343" s="978"/>
      <c r="M343" s="185"/>
      <c r="N343" s="185"/>
      <c r="O343" s="185"/>
      <c r="P343" s="185"/>
      <c r="Q343" s="978"/>
      <c r="R343" s="185"/>
      <c r="S343" s="185"/>
      <c r="T343" s="185"/>
      <c r="U343" s="185"/>
      <c r="V343" s="978"/>
      <c r="W343" s="185"/>
      <c r="X343" s="185"/>
      <c r="Y343" s="185"/>
      <c r="Z343" s="185"/>
      <c r="AA343" s="978"/>
      <c r="AB343" s="185"/>
      <c r="AC343" s="185"/>
      <c r="AD343" s="185"/>
      <c r="AE343" s="185"/>
      <c r="AF343" s="978"/>
      <c r="AG343" s="185"/>
      <c r="AH343" s="185"/>
      <c r="AI343" s="185"/>
      <c r="AJ343" s="185"/>
      <c r="AK343" s="978"/>
      <c r="AL343" s="185"/>
      <c r="AM343" s="185"/>
      <c r="AN343" s="185"/>
      <c r="AO343" s="185"/>
      <c r="AP343" s="978"/>
      <c r="AQ343" s="185"/>
      <c r="AR343" s="185"/>
      <c r="AS343" s="185"/>
      <c r="AT343" s="185"/>
      <c r="AU343" s="978"/>
      <c r="AV343" s="185"/>
      <c r="AW343" s="185"/>
      <c r="AX343" s="185"/>
      <c r="AY343" s="185"/>
      <c r="AZ343" s="978"/>
      <c r="BA343" s="185"/>
      <c r="BB343" s="185"/>
      <c r="BC343" s="185"/>
      <c r="BD343" s="185"/>
      <c r="BE343" s="978"/>
      <c r="BF343" s="185"/>
      <c r="BG343" s="185"/>
      <c r="BH343" s="552"/>
      <c r="BI343" s="185"/>
      <c r="BJ343" s="978"/>
      <c r="BK343" s="185"/>
      <c r="BL343" s="185"/>
      <c r="BM343" s="185"/>
      <c r="BN343" s="185"/>
      <c r="BO343" s="978"/>
      <c r="BP343" s="978"/>
      <c r="BQ343" s="978"/>
      <c r="BR343" s="978"/>
      <c r="BS343" s="100"/>
    </row>
    <row r="344" spans="1:71" s="44" customFormat="1" ht="15" hidden="1" outlineLevel="1">
      <c r="A344" s="108" t="s">
        <v>126</v>
      </c>
      <c r="B344" s="369"/>
      <c r="C344" s="978"/>
      <c r="D344" s="978"/>
      <c r="E344" s="978"/>
      <c r="F344" s="978"/>
      <c r="G344" s="978"/>
      <c r="H344" s="185"/>
      <c r="I344" s="185"/>
      <c r="J344" s="185"/>
      <c r="K344" s="185"/>
      <c r="L344" s="978"/>
      <c r="M344" s="185"/>
      <c r="N344" s="185"/>
      <c r="O344" s="185"/>
      <c r="P344" s="185"/>
      <c r="Q344" s="978"/>
      <c r="R344" s="185"/>
      <c r="S344" s="185"/>
      <c r="T344" s="185"/>
      <c r="U344" s="185"/>
      <c r="V344" s="978"/>
      <c r="W344" s="185"/>
      <c r="X344" s="185"/>
      <c r="Y344" s="185"/>
      <c r="Z344" s="185"/>
      <c r="AA344" s="978"/>
      <c r="AB344" s="185"/>
      <c r="AC344" s="185"/>
      <c r="AD344" s="185"/>
      <c r="AE344" s="185"/>
      <c r="AF344" s="978"/>
      <c r="AG344" s="185"/>
      <c r="AH344" s="185"/>
      <c r="AI344" s="185"/>
      <c r="AJ344" s="185"/>
      <c r="AK344" s="978"/>
      <c r="AL344" s="185"/>
      <c r="AM344" s="185"/>
      <c r="AN344" s="185"/>
      <c r="AO344" s="185"/>
      <c r="AP344" s="978"/>
      <c r="AQ344" s="185"/>
      <c r="AR344" s="185"/>
      <c r="AS344" s="185"/>
      <c r="AT344" s="185"/>
      <c r="AU344" s="978"/>
      <c r="AV344" s="185"/>
      <c r="AW344" s="185"/>
      <c r="AX344" s="185"/>
      <c r="AY344" s="185"/>
      <c r="AZ344" s="978"/>
      <c r="BA344" s="185"/>
      <c r="BB344" s="185"/>
      <c r="BC344" s="185"/>
      <c r="BD344" s="185"/>
      <c r="BE344" s="978"/>
      <c r="BF344" s="185"/>
      <c r="BG344" s="185"/>
      <c r="BH344" s="552"/>
      <c r="BI344" s="185"/>
      <c r="BJ344" s="978"/>
      <c r="BK344" s="185"/>
      <c r="BL344" s="185"/>
      <c r="BM344" s="185"/>
      <c r="BN344" s="185"/>
      <c r="BO344" s="978"/>
      <c r="BP344" s="978"/>
      <c r="BQ344" s="978"/>
      <c r="BR344" s="978"/>
      <c r="BS344" s="100"/>
    </row>
    <row r="345" spans="1:71" s="224" customFormat="1" ht="15" hidden="1" outlineLevel="1">
      <c r="A345" s="424" t="s">
        <v>127</v>
      </c>
      <c r="B345" s="363"/>
      <c r="C345" s="1002">
        <v>-10</v>
      </c>
      <c r="D345" s="1002">
        <v>-121</v>
      </c>
      <c r="E345" s="1002">
        <v>-308</v>
      </c>
      <c r="F345" s="1002">
        <v>-118</v>
      </c>
      <c r="G345" s="1002">
        <v>-813</v>
      </c>
      <c r="H345" s="908">
        <v>-421</v>
      </c>
      <c r="I345" s="908">
        <v>-522</v>
      </c>
      <c r="J345" s="908">
        <v>-698</v>
      </c>
      <c r="K345" s="426">
        <f t="shared" si="751" ref="K345:K351">++L345</f>
        <v>-1210</v>
      </c>
      <c r="L345" s="1002">
        <v>-1210</v>
      </c>
      <c r="M345" s="908">
        <v>-610</v>
      </c>
      <c r="N345" s="908">
        <v>-848</v>
      </c>
      <c r="O345" s="908">
        <v>-1081</v>
      </c>
      <c r="P345" s="426">
        <f t="shared" si="752" ref="P345:P351">++Q345</f>
        <v>-1315</v>
      </c>
      <c r="Q345" s="1002">
        <v>-1315</v>
      </c>
      <c r="R345" s="908">
        <v>-612</v>
      </c>
      <c r="S345" s="908">
        <v>-1014</v>
      </c>
      <c r="T345" s="908">
        <v>-1222</v>
      </c>
      <c r="U345" s="426">
        <f t="shared" si="753" ref="U345:U351">++V345</f>
        <v>-1422</v>
      </c>
      <c r="V345" s="1002">
        <v>-1422</v>
      </c>
      <c r="W345" s="908">
        <v>-610</v>
      </c>
      <c r="X345" s="908">
        <v>-813</v>
      </c>
      <c r="Y345" s="908">
        <v>-1053</v>
      </c>
      <c r="Z345" s="426">
        <f t="shared" si="754" ref="Z345:Z351">++AA345</f>
        <v>-1351</v>
      </c>
      <c r="AA345" s="1002">
        <v>-1351</v>
      </c>
      <c r="AB345" s="908">
        <v>-296</v>
      </c>
      <c r="AC345" s="908">
        <v>-601</v>
      </c>
      <c r="AD345" s="908">
        <v>-923</v>
      </c>
      <c r="AE345" s="426">
        <f t="shared" si="755" ref="AE345:AE351">++AF345</f>
        <v>-1301</v>
      </c>
      <c r="AF345" s="1002">
        <v>-1301</v>
      </c>
      <c r="AG345" s="908">
        <v>-490</v>
      </c>
      <c r="AH345" s="908">
        <v>-847</v>
      </c>
      <c r="AI345" s="908">
        <v>-1157</v>
      </c>
      <c r="AJ345" s="426">
        <f t="shared" si="756" ref="AJ345:AJ351">++AK345</f>
        <v>-1627</v>
      </c>
      <c r="AK345" s="1002">
        <v>-1627</v>
      </c>
      <c r="AL345" s="891">
        <v>-449</v>
      </c>
      <c r="AM345" s="891">
        <v>-637</v>
      </c>
      <c r="AN345" s="891">
        <v>-1037</v>
      </c>
      <c r="AO345" s="176">
        <f t="shared" si="757" ref="AO345:AO351">AP345</f>
        <v>-1537</v>
      </c>
      <c r="AP345" s="992">
        <v>-1537</v>
      </c>
      <c r="AQ345" s="891">
        <v>-650</v>
      </c>
      <c r="AR345" s="891">
        <v>-1150</v>
      </c>
      <c r="AS345" s="891">
        <v>-1676</v>
      </c>
      <c r="AT345" s="176">
        <f t="shared" si="758" ref="AT345:AT351">AU345</f>
        <v>-2301</v>
      </c>
      <c r="AU345" s="992">
        <v>-2301</v>
      </c>
      <c r="AV345" s="891">
        <v>-500</v>
      </c>
      <c r="AW345" s="891">
        <v>-1150</v>
      </c>
      <c r="AX345" s="891">
        <v>-1801</v>
      </c>
      <c r="AY345" s="176">
        <f t="shared" si="759" ref="AY345:AY351">AZ345</f>
        <v>-2401</v>
      </c>
      <c r="AZ345" s="992">
        <v>-2401</v>
      </c>
      <c r="BA345" s="891">
        <v>-700</v>
      </c>
      <c r="BB345" s="891">
        <v>-1400</v>
      </c>
      <c r="BC345" s="891">
        <v>-2100</v>
      </c>
      <c r="BD345" s="176">
        <f t="shared" si="760" ref="BD345:BD351">BE345</f>
        <v>-2801</v>
      </c>
      <c r="BE345" s="992">
        <v>-2801</v>
      </c>
      <c r="BF345" s="891">
        <v>-750</v>
      </c>
      <c r="BG345" s="891">
        <v>-1550</v>
      </c>
      <c r="BH345" s="892">
        <v>-2050</v>
      </c>
      <c r="BI345" s="176">
        <f t="shared" si="761" ref="BI345:BI351">BJ345</f>
        <v>0</v>
      </c>
      <c r="BJ345" s="971"/>
      <c r="BK345" s="176"/>
      <c r="BL345" s="176"/>
      <c r="BM345" s="176"/>
      <c r="BN345" s="176">
        <f t="shared" si="762" ref="BN345:BN351">BO345</f>
        <v>0</v>
      </c>
      <c r="BO345" s="971"/>
      <c r="BP345" s="971"/>
      <c r="BQ345" s="971"/>
      <c r="BR345" s="971"/>
      <c r="BS345" s="229"/>
    </row>
    <row r="346" spans="1:71" s="224" customFormat="1" ht="15" hidden="1" outlineLevel="1">
      <c r="A346" s="424" t="s">
        <v>128</v>
      </c>
      <c r="B346" s="363"/>
      <c r="C346" s="1002">
        <v>1405</v>
      </c>
      <c r="D346" s="1002">
        <v>748</v>
      </c>
      <c r="E346" s="1002">
        <v>620</v>
      </c>
      <c r="F346" s="1002">
        <v>1506</v>
      </c>
      <c r="G346" s="1002">
        <v>700</v>
      </c>
      <c r="H346" s="908">
        <v>0</v>
      </c>
      <c r="I346" s="908">
        <v>0</v>
      </c>
      <c r="J346" s="908">
        <v>0</v>
      </c>
      <c r="K346" s="426">
        <f t="shared" si="751"/>
        <v>750</v>
      </c>
      <c r="L346" s="1002">
        <v>750</v>
      </c>
      <c r="M346" s="908">
        <v>989</v>
      </c>
      <c r="N346" s="908">
        <v>998</v>
      </c>
      <c r="O346" s="908">
        <v>998</v>
      </c>
      <c r="P346" s="426">
        <f t="shared" si="752"/>
        <v>998</v>
      </c>
      <c r="Q346" s="1002">
        <v>998</v>
      </c>
      <c r="R346" s="908">
        <v>0</v>
      </c>
      <c r="S346" s="908">
        <v>0</v>
      </c>
      <c r="T346" s="908">
        <v>988</v>
      </c>
      <c r="U346" s="426">
        <f t="shared" si="753"/>
        <v>986</v>
      </c>
      <c r="V346" s="1002">
        <v>986</v>
      </c>
      <c r="W346" s="908">
        <v>524</v>
      </c>
      <c r="X346" s="908">
        <v>524</v>
      </c>
      <c r="Y346" s="908">
        <v>524</v>
      </c>
      <c r="Z346" s="426">
        <f t="shared" si="754"/>
        <v>1040</v>
      </c>
      <c r="AA346" s="1002">
        <v>1040</v>
      </c>
      <c r="AB346" s="908">
        <v>2</v>
      </c>
      <c r="AC346" s="908">
        <v>0</v>
      </c>
      <c r="AD346" s="908">
        <v>0</v>
      </c>
      <c r="AE346" s="426">
        <f t="shared" si="755"/>
        <v>1020</v>
      </c>
      <c r="AF346" s="1002">
        <v>1020</v>
      </c>
      <c r="AG346" s="139"/>
      <c r="AH346" s="908">
        <v>268</v>
      </c>
      <c r="AI346" s="908">
        <v>268</v>
      </c>
      <c r="AJ346" s="426">
        <f t="shared" si="756"/>
        <v>615</v>
      </c>
      <c r="AK346" s="1002">
        <v>615</v>
      </c>
      <c r="AL346" s="891">
        <v>545</v>
      </c>
      <c r="AM346" s="891">
        <v>1545</v>
      </c>
      <c r="AN346" s="891">
        <v>1545</v>
      </c>
      <c r="AO346" s="176">
        <f t="shared" si="757"/>
        <v>1545</v>
      </c>
      <c r="AP346" s="992">
        <v>1545</v>
      </c>
      <c r="AQ346" s="891">
        <v>400</v>
      </c>
      <c r="AR346" s="891">
        <v>1153</v>
      </c>
      <c r="AS346" s="891">
        <v>1153</v>
      </c>
      <c r="AT346" s="176">
        <f t="shared" si="758"/>
        <v>1153</v>
      </c>
      <c r="AU346" s="992">
        <v>1153</v>
      </c>
      <c r="AV346" s="176"/>
      <c r="AW346" s="176"/>
      <c r="AX346" s="891">
        <v>1277</v>
      </c>
      <c r="AY346" s="176">
        <f t="shared" si="759"/>
        <v>1277</v>
      </c>
      <c r="AZ346" s="992">
        <v>1277</v>
      </c>
      <c r="BA346" s="176"/>
      <c r="BB346" s="176"/>
      <c r="BC346" s="176"/>
      <c r="BD346" s="176">
        <f t="shared" si="760"/>
        <v>204</v>
      </c>
      <c r="BE346" s="992">
        <v>204</v>
      </c>
      <c r="BF346" s="891">
        <v>823</v>
      </c>
      <c r="BG346" s="891">
        <v>823</v>
      </c>
      <c r="BH346" s="892">
        <v>823</v>
      </c>
      <c r="BI346" s="176">
        <f t="shared" si="761"/>
        <v>0</v>
      </c>
      <c r="BJ346" s="971"/>
      <c r="BK346" s="176"/>
      <c r="BL346" s="176"/>
      <c r="BM346" s="176"/>
      <c r="BN346" s="176">
        <f t="shared" si="762"/>
        <v>0</v>
      </c>
      <c r="BO346" s="971"/>
      <c r="BP346" s="971"/>
      <c r="BQ346" s="971"/>
      <c r="BR346" s="971"/>
      <c r="BS346" s="229"/>
    </row>
    <row r="347" spans="1:71" s="224" customFormat="1" ht="15" hidden="1" outlineLevel="1">
      <c r="A347" s="424" t="s">
        <v>129</v>
      </c>
      <c r="B347" s="363"/>
      <c r="C347" s="1002">
        <v>-560</v>
      </c>
      <c r="D347" s="1002">
        <v>-451</v>
      </c>
      <c r="E347" s="1002">
        <v>-462</v>
      </c>
      <c r="F347" s="1002">
        <v>-341</v>
      </c>
      <c r="G347" s="1002">
        <v>0</v>
      </c>
      <c r="H347" s="139"/>
      <c r="I347" s="908">
        <v>0</v>
      </c>
      <c r="J347" s="908">
        <v>-335</v>
      </c>
      <c r="K347" s="426">
        <f t="shared" si="751"/>
        <v>-335</v>
      </c>
      <c r="L347" s="1002">
        <v>-335</v>
      </c>
      <c r="M347" s="139"/>
      <c r="N347" s="908">
        <v>-850</v>
      </c>
      <c r="O347" s="908">
        <v>-1272</v>
      </c>
      <c r="P347" s="426">
        <f t="shared" si="752"/>
        <v>-1272</v>
      </c>
      <c r="Q347" s="1002">
        <v>-1272</v>
      </c>
      <c r="R347" s="908">
        <v>0</v>
      </c>
      <c r="S347" s="908">
        <v>-1</v>
      </c>
      <c r="T347" s="908">
        <v>-232</v>
      </c>
      <c r="U347" s="426">
        <f t="shared" si="753"/>
        <v>-610</v>
      </c>
      <c r="V347" s="1002">
        <v>-610</v>
      </c>
      <c r="W347" s="908">
        <v>-654</v>
      </c>
      <c r="X347" s="908">
        <v>-656</v>
      </c>
      <c r="Y347" s="908">
        <v>-660</v>
      </c>
      <c r="Z347" s="426">
        <f t="shared" si="754"/>
        <v>-1161</v>
      </c>
      <c r="AA347" s="1002">
        <v>-1161</v>
      </c>
      <c r="AB347" s="908">
        <v>0</v>
      </c>
      <c r="AC347" s="908">
        <v>0</v>
      </c>
      <c r="AD347" s="908">
        <v>0</v>
      </c>
      <c r="AE347" s="426">
        <f t="shared" si="755"/>
        <v>-550</v>
      </c>
      <c r="AF347" s="1002">
        <v>-550</v>
      </c>
      <c r="AG347" s="139"/>
      <c r="AH347" s="139"/>
      <c r="AI347" s="139"/>
      <c r="AJ347" s="426">
        <f t="shared" si="756"/>
        <v>0</v>
      </c>
      <c r="AK347" s="1002">
        <v>0</v>
      </c>
      <c r="AL347" s="891">
        <v>-350</v>
      </c>
      <c r="AM347" s="891">
        <v>-350</v>
      </c>
      <c r="AN347" s="891">
        <v>-350</v>
      </c>
      <c r="AO347" s="176">
        <f t="shared" si="757"/>
        <v>-350</v>
      </c>
      <c r="AP347" s="992">
        <v>-350</v>
      </c>
      <c r="AQ347" s="176"/>
      <c r="AR347" s="891">
        <v>-700</v>
      </c>
      <c r="AS347" s="891">
        <v>-700</v>
      </c>
      <c r="AT347" s="176">
        <f t="shared" si="758"/>
        <v>-700</v>
      </c>
      <c r="AU347" s="992">
        <v>-700</v>
      </c>
      <c r="AV347" s="176"/>
      <c r="AW347" s="176"/>
      <c r="AX347" s="891">
        <v>-966</v>
      </c>
      <c r="AY347" s="176">
        <f t="shared" si="759"/>
        <v>-1416</v>
      </c>
      <c r="AZ347" s="992">
        <v>-1416</v>
      </c>
      <c r="BA347" s="176"/>
      <c r="BB347" s="176"/>
      <c r="BC347" s="176"/>
      <c r="BD347" s="176">
        <f t="shared" si="760"/>
        <v>0</v>
      </c>
      <c r="BE347" s="992">
        <v>0</v>
      </c>
      <c r="BF347" s="176"/>
      <c r="BG347" s="891">
        <v>-194</v>
      </c>
      <c r="BH347" s="892">
        <v>-194</v>
      </c>
      <c r="BI347" s="176">
        <f t="shared" si="761"/>
        <v>0</v>
      </c>
      <c r="BJ347" s="971"/>
      <c r="BK347" s="176"/>
      <c r="BL347" s="176"/>
      <c r="BM347" s="176"/>
      <c r="BN347" s="176">
        <f t="shared" si="762"/>
        <v>0</v>
      </c>
      <c r="BO347" s="971"/>
      <c r="BP347" s="971"/>
      <c r="BQ347" s="971"/>
      <c r="BR347" s="971"/>
      <c r="BS347" s="229"/>
    </row>
    <row r="348" spans="1:71" s="224" customFormat="1" ht="15" hidden="1" outlineLevel="1">
      <c r="A348" s="424" t="s">
        <v>130</v>
      </c>
      <c r="B348" s="363"/>
      <c r="C348" s="1002">
        <v>-524</v>
      </c>
      <c r="D348" s="1002">
        <v>-535</v>
      </c>
      <c r="E348" s="1002">
        <v>-552</v>
      </c>
      <c r="F348" s="1002">
        <v>-603</v>
      </c>
      <c r="G348" s="1002">
        <v>-635</v>
      </c>
      <c r="H348" s="908">
        <v>-163</v>
      </c>
      <c r="I348" s="908">
        <v>-324</v>
      </c>
      <c r="J348" s="908">
        <v>-486</v>
      </c>
      <c r="K348" s="426">
        <f t="shared" si="751"/>
        <v>-654</v>
      </c>
      <c r="L348" s="1002">
        <v>-654</v>
      </c>
      <c r="M348" s="908">
        <v>-165</v>
      </c>
      <c r="N348" s="908">
        <v>-328</v>
      </c>
      <c r="O348" s="908">
        <v>-489</v>
      </c>
      <c r="P348" s="426">
        <f t="shared" si="752"/>
        <v>-656</v>
      </c>
      <c r="Q348" s="1002">
        <v>-656</v>
      </c>
      <c r="R348" s="908">
        <v>-167</v>
      </c>
      <c r="S348" s="908">
        <v>-330</v>
      </c>
      <c r="T348" s="908">
        <v>-492</v>
      </c>
      <c r="U348" s="426">
        <f t="shared" si="753"/>
        <v>-658</v>
      </c>
      <c r="V348" s="1002">
        <v>-658</v>
      </c>
      <c r="W348" s="908">
        <v>-166</v>
      </c>
      <c r="X348" s="908">
        <v>-328</v>
      </c>
      <c r="Y348" s="908">
        <v>-491</v>
      </c>
      <c r="Z348" s="426">
        <f t="shared" si="754"/>
        <v>-661</v>
      </c>
      <c r="AA348" s="1002">
        <v>-661</v>
      </c>
      <c r="AB348" s="908">
        <v>-195</v>
      </c>
      <c r="AC348" s="908">
        <v>-396</v>
      </c>
      <c r="AD348" s="908">
        <v>-595</v>
      </c>
      <c r="AE348" s="426">
        <f t="shared" si="755"/>
        <v>-793</v>
      </c>
      <c r="AF348" s="1002">
        <v>-793</v>
      </c>
      <c r="AG348" s="908">
        <v>-195</v>
      </c>
      <c r="AH348" s="908">
        <v>-389</v>
      </c>
      <c r="AI348" s="908">
        <v>-579</v>
      </c>
      <c r="AJ348" s="426">
        <f t="shared" si="756"/>
        <v>-771</v>
      </c>
      <c r="AK348" s="1002">
        <v>-771</v>
      </c>
      <c r="AL348" s="891">
        <v>-195</v>
      </c>
      <c r="AM348" s="891">
        <v>-388</v>
      </c>
      <c r="AN348" s="891">
        <v>-580</v>
      </c>
      <c r="AO348" s="176">
        <f t="shared" si="757"/>
        <v>-769</v>
      </c>
      <c r="AP348" s="992">
        <v>-769</v>
      </c>
      <c r="AQ348" s="891">
        <v>-219</v>
      </c>
      <c r="AR348" s="891">
        <v>-430</v>
      </c>
      <c r="AS348" s="891">
        <v>-647</v>
      </c>
      <c r="AT348" s="176">
        <f t="shared" si="758"/>
        <v>-855</v>
      </c>
      <c r="AU348" s="992">
        <v>-855</v>
      </c>
      <c r="AV348" s="891">
        <v>-250</v>
      </c>
      <c r="AW348" s="891">
        <v>-498</v>
      </c>
      <c r="AX348" s="891">
        <v>-740</v>
      </c>
      <c r="AY348" s="176">
        <f t="shared" si="759"/>
        <v>-979</v>
      </c>
      <c r="AZ348" s="992">
        <v>-979</v>
      </c>
      <c r="BA348" s="891">
        <v>-248</v>
      </c>
      <c r="BB348" s="891">
        <v>-491</v>
      </c>
      <c r="BC348" s="891">
        <v>-730</v>
      </c>
      <c r="BD348" s="176">
        <f t="shared" si="760"/>
        <v>-966</v>
      </c>
      <c r="BE348" s="992">
        <v>-966</v>
      </c>
      <c r="BF348" s="891">
        <v>-278</v>
      </c>
      <c r="BG348" s="891">
        <v>-550</v>
      </c>
      <c r="BH348" s="892">
        <v>-820</v>
      </c>
      <c r="BI348" s="176">
        <f t="shared" si="761"/>
        <v>0</v>
      </c>
      <c r="BJ348" s="971"/>
      <c r="BK348" s="176"/>
      <c r="BL348" s="176"/>
      <c r="BM348" s="176"/>
      <c r="BN348" s="176">
        <f t="shared" si="762"/>
        <v>0</v>
      </c>
      <c r="BO348" s="971"/>
      <c r="BP348" s="971"/>
      <c r="BQ348" s="971"/>
      <c r="BR348" s="971"/>
      <c r="BS348" s="229"/>
    </row>
    <row r="349" spans="1:71" s="224" customFormat="1" ht="15" hidden="1" outlineLevel="1">
      <c r="A349" s="424" t="s">
        <v>131</v>
      </c>
      <c r="B349" s="363"/>
      <c r="C349" s="1002">
        <v>364</v>
      </c>
      <c r="D349" s="1002">
        <v>419</v>
      </c>
      <c r="E349" s="1002">
        <v>733</v>
      </c>
      <c r="F349" s="1002">
        <v>1457</v>
      </c>
      <c r="G349" s="1002">
        <v>1790</v>
      </c>
      <c r="H349" s="908">
        <v>536</v>
      </c>
      <c r="I349" s="908">
        <v>1023</v>
      </c>
      <c r="J349" s="908">
        <v>1166</v>
      </c>
      <c r="K349" s="426">
        <f t="shared" si="751"/>
        <v>1253</v>
      </c>
      <c r="L349" s="1002">
        <v>1253</v>
      </c>
      <c r="M349" s="908">
        <v>84</v>
      </c>
      <c r="N349" s="908">
        <v>147</v>
      </c>
      <c r="O349" s="908">
        <v>213</v>
      </c>
      <c r="P349" s="426">
        <f t="shared" si="752"/>
        <v>256</v>
      </c>
      <c r="Q349" s="1002">
        <v>256</v>
      </c>
      <c r="R349" s="908">
        <v>45</v>
      </c>
      <c r="S349" s="908">
        <v>82</v>
      </c>
      <c r="T349" s="908">
        <v>117</v>
      </c>
      <c r="U349" s="426">
        <f t="shared" si="753"/>
        <v>159</v>
      </c>
      <c r="V349" s="1002">
        <v>159</v>
      </c>
      <c r="W349" s="908">
        <v>18</v>
      </c>
      <c r="X349" s="908">
        <v>23</v>
      </c>
      <c r="Y349" s="908">
        <v>39</v>
      </c>
      <c r="Z349" s="426">
        <f t="shared" si="754"/>
        <v>35</v>
      </c>
      <c r="AA349" s="1002">
        <v>35</v>
      </c>
      <c r="AB349" s="908">
        <v>7</v>
      </c>
      <c r="AC349" s="908">
        <v>9</v>
      </c>
      <c r="AD349" s="908">
        <v>-17</v>
      </c>
      <c r="AE349" s="426">
        <f t="shared" si="755"/>
        <v>-31</v>
      </c>
      <c r="AF349" s="1002">
        <v>-31</v>
      </c>
      <c r="AG349" s="908">
        <v>-13</v>
      </c>
      <c r="AH349" s="908">
        <v>-34</v>
      </c>
      <c r="AI349" s="908">
        <v>0</v>
      </c>
      <c r="AJ349" s="426">
        <f t="shared" si="756"/>
        <v>-1</v>
      </c>
      <c r="AK349" s="1002">
        <v>-1</v>
      </c>
      <c r="AL349" s="891">
        <v>-5</v>
      </c>
      <c r="AM349" s="891">
        <v>-17</v>
      </c>
      <c r="AN349" s="891">
        <v>-7</v>
      </c>
      <c r="AO349" s="176">
        <f t="shared" si="757"/>
        <v>-11</v>
      </c>
      <c r="AP349" s="992">
        <v>-11</v>
      </c>
      <c r="AQ349" s="891">
        <v>-12</v>
      </c>
      <c r="AR349" s="891">
        <v>-24</v>
      </c>
      <c r="AS349" s="891">
        <v>-25</v>
      </c>
      <c r="AT349" s="176">
        <f t="shared" si="758"/>
        <v>-36</v>
      </c>
      <c r="AU349" s="992">
        <v>-36</v>
      </c>
      <c r="AV349" s="891">
        <v>-21</v>
      </c>
      <c r="AW349" s="891">
        <v>-41</v>
      </c>
      <c r="AX349" s="891">
        <v>-61</v>
      </c>
      <c r="AY349" s="176">
        <f t="shared" si="759"/>
        <v>-83</v>
      </c>
      <c r="AZ349" s="992">
        <v>-83</v>
      </c>
      <c r="BA349" s="891">
        <v>-28</v>
      </c>
      <c r="BB349" s="891">
        <v>-64</v>
      </c>
      <c r="BC349" s="891">
        <v>-114</v>
      </c>
      <c r="BD349" s="176">
        <f t="shared" si="760"/>
        <v>-160</v>
      </c>
      <c r="BE349" s="992">
        <v>-160</v>
      </c>
      <c r="BF349" s="891">
        <v>-50</v>
      </c>
      <c r="BG349" s="891">
        <v>-103</v>
      </c>
      <c r="BH349" s="892">
        <v>-162</v>
      </c>
      <c r="BI349" s="176">
        <f t="shared" si="761"/>
        <v>0</v>
      </c>
      <c r="BJ349" s="971"/>
      <c r="BK349" s="176"/>
      <c r="BL349" s="176"/>
      <c r="BM349" s="176"/>
      <c r="BN349" s="176">
        <f t="shared" si="762"/>
        <v>0</v>
      </c>
      <c r="BO349" s="971"/>
      <c r="BP349" s="971"/>
      <c r="BQ349" s="971"/>
      <c r="BR349" s="971"/>
      <c r="BS349" s="229"/>
    </row>
    <row r="350" spans="1:71" s="224" customFormat="1" ht="15" hidden="1" outlineLevel="1">
      <c r="A350" s="424" t="s">
        <v>132</v>
      </c>
      <c r="B350" s="363"/>
      <c r="C350" s="1002">
        <v>17</v>
      </c>
      <c r="D350" s="1002">
        <v>45</v>
      </c>
      <c r="E350" s="1002">
        <v>26</v>
      </c>
      <c r="F350" s="1002">
        <v>32</v>
      </c>
      <c r="G350" s="1002">
        <v>88</v>
      </c>
      <c r="H350" s="908">
        <v>16</v>
      </c>
      <c r="I350" s="908">
        <v>21</v>
      </c>
      <c r="J350" s="908">
        <v>25</v>
      </c>
      <c r="K350" s="426">
        <f t="shared" si="751"/>
        <v>33</v>
      </c>
      <c r="L350" s="1002">
        <v>33</v>
      </c>
      <c r="M350" s="908">
        <v>13</v>
      </c>
      <c r="N350" s="908">
        <v>20</v>
      </c>
      <c r="O350" s="908">
        <v>28</v>
      </c>
      <c r="P350" s="426">
        <f t="shared" si="752"/>
        <v>36</v>
      </c>
      <c r="Q350" s="1002">
        <v>36</v>
      </c>
      <c r="R350" s="908">
        <v>7</v>
      </c>
      <c r="S350" s="908">
        <v>19</v>
      </c>
      <c r="T350" s="908">
        <v>37</v>
      </c>
      <c r="U350" s="426">
        <f t="shared" si="753"/>
        <v>46</v>
      </c>
      <c r="V350" s="1002">
        <v>46</v>
      </c>
      <c r="W350" s="908">
        <v>11</v>
      </c>
      <c r="X350" s="908">
        <v>17</v>
      </c>
      <c r="Y350" s="908">
        <v>23</v>
      </c>
      <c r="Z350" s="426">
        <f t="shared" si="754"/>
        <v>33</v>
      </c>
      <c r="AA350" s="1002">
        <v>33</v>
      </c>
      <c r="AB350" s="908">
        <v>14</v>
      </c>
      <c r="AC350" s="908">
        <v>12</v>
      </c>
      <c r="AD350" s="908">
        <v>36</v>
      </c>
      <c r="AE350" s="426">
        <f t="shared" si="755"/>
        <v>58</v>
      </c>
      <c r="AF350" s="1002">
        <v>58</v>
      </c>
      <c r="AG350" s="908">
        <v>12</v>
      </c>
      <c r="AH350" s="908">
        <v>26</v>
      </c>
      <c r="AI350" s="908">
        <v>38</v>
      </c>
      <c r="AJ350" s="426">
        <f t="shared" si="756"/>
        <v>49</v>
      </c>
      <c r="AK350" s="1002">
        <v>49</v>
      </c>
      <c r="AL350" s="891">
        <v>9</v>
      </c>
      <c r="AM350" s="891">
        <v>21</v>
      </c>
      <c r="AN350" s="891">
        <v>27</v>
      </c>
      <c r="AO350" s="176">
        <f t="shared" si="757"/>
        <v>34</v>
      </c>
      <c r="AP350" s="992">
        <v>34</v>
      </c>
      <c r="AQ350" s="891">
        <v>9</v>
      </c>
      <c r="AR350" s="891">
        <v>13</v>
      </c>
      <c r="AS350" s="891">
        <v>13</v>
      </c>
      <c r="AT350" s="176">
        <f t="shared" si="758"/>
        <v>26</v>
      </c>
      <c r="AU350" s="992">
        <v>26</v>
      </c>
      <c r="AV350" s="891">
        <v>9</v>
      </c>
      <c r="AW350" s="891">
        <v>10</v>
      </c>
      <c r="AX350" s="891">
        <v>15</v>
      </c>
      <c r="AY350" s="176">
        <f t="shared" si="759"/>
        <v>17</v>
      </c>
      <c r="AZ350" s="992">
        <v>17</v>
      </c>
      <c r="BA350" s="891">
        <v>2</v>
      </c>
      <c r="BB350" s="891">
        <v>5</v>
      </c>
      <c r="BC350" s="891">
        <v>9</v>
      </c>
      <c r="BD350" s="176">
        <f t="shared" si="760"/>
        <v>17</v>
      </c>
      <c r="BE350" s="992">
        <v>17</v>
      </c>
      <c r="BF350" s="891">
        <v>6</v>
      </c>
      <c r="BG350" s="891">
        <v>12</v>
      </c>
      <c r="BH350" s="892">
        <v>21</v>
      </c>
      <c r="BI350" s="176">
        <f t="shared" si="761"/>
        <v>0</v>
      </c>
      <c r="BJ350" s="971"/>
      <c r="BK350" s="176"/>
      <c r="BL350" s="176"/>
      <c r="BM350" s="176"/>
      <c r="BN350" s="176">
        <f t="shared" si="762"/>
        <v>0</v>
      </c>
      <c r="BO350" s="971"/>
      <c r="BP350" s="971"/>
      <c r="BQ350" s="971"/>
      <c r="BR350" s="971"/>
      <c r="BS350" s="229"/>
    </row>
    <row r="351" spans="1:71" s="224" customFormat="1" ht="15" hidden="1" outlineLevel="1">
      <c r="A351" s="607" t="s">
        <v>108</v>
      </c>
      <c r="B351" s="365"/>
      <c r="C351" s="1004">
        <v>7</v>
      </c>
      <c r="D351" s="1004">
        <v>56</v>
      </c>
      <c r="E351" s="1004">
        <v>7</v>
      </c>
      <c r="F351" s="1004">
        <v>12</v>
      </c>
      <c r="G351" s="1004">
        <v>6</v>
      </c>
      <c r="H351" s="911">
        <v>0</v>
      </c>
      <c r="I351" s="911">
        <v>3</v>
      </c>
      <c r="J351" s="911">
        <v>6</v>
      </c>
      <c r="K351" s="609">
        <f t="shared" si="751"/>
        <v>16</v>
      </c>
      <c r="L351" s="1004">
        <v>16</v>
      </c>
      <c r="M351" s="911">
        <v>11</v>
      </c>
      <c r="N351" s="911">
        <v>-226</v>
      </c>
      <c r="O351" s="911">
        <v>-223</v>
      </c>
      <c r="P351" s="609">
        <f t="shared" si="752"/>
        <v>-234</v>
      </c>
      <c r="Q351" s="1004">
        <v>-234</v>
      </c>
      <c r="R351" s="911">
        <v>-39</v>
      </c>
      <c r="S351" s="911">
        <v>-37</v>
      </c>
      <c r="T351" s="911">
        <v>-31</v>
      </c>
      <c r="U351" s="609">
        <f t="shared" si="753"/>
        <v>-120</v>
      </c>
      <c r="V351" s="1004">
        <v>-120</v>
      </c>
      <c r="W351" s="911">
        <v>1</v>
      </c>
      <c r="X351" s="911">
        <v>2</v>
      </c>
      <c r="Y351" s="911">
        <v>5</v>
      </c>
      <c r="Z351" s="609">
        <f t="shared" si="754"/>
        <v>0</v>
      </c>
      <c r="AA351" s="1004">
        <v>0</v>
      </c>
      <c r="AB351" s="911">
        <v>-5</v>
      </c>
      <c r="AC351" s="911">
        <v>-12</v>
      </c>
      <c r="AD351" s="911">
        <v>-14</v>
      </c>
      <c r="AE351" s="609">
        <f t="shared" si="755"/>
        <v>-19</v>
      </c>
      <c r="AF351" s="1004">
        <v>-19</v>
      </c>
      <c r="AG351" s="347"/>
      <c r="AH351" s="911">
        <v>-2</v>
      </c>
      <c r="AI351" s="911">
        <v>1</v>
      </c>
      <c r="AJ351" s="609">
        <f t="shared" si="756"/>
        <v>22</v>
      </c>
      <c r="AK351" s="1004">
        <v>22</v>
      </c>
      <c r="AL351" s="884">
        <v>-1</v>
      </c>
      <c r="AM351" s="884">
        <v>-22</v>
      </c>
      <c r="AN351" s="884">
        <v>-29</v>
      </c>
      <c r="AO351" s="177">
        <f t="shared" si="757"/>
        <v>-27</v>
      </c>
      <c r="AP351" s="984">
        <v>-27</v>
      </c>
      <c r="AQ351" s="884">
        <v>2</v>
      </c>
      <c r="AR351" s="884">
        <v>-3</v>
      </c>
      <c r="AS351" s="884">
        <v>-15</v>
      </c>
      <c r="AT351" s="177">
        <f t="shared" si="758"/>
        <v>-26</v>
      </c>
      <c r="AU351" s="984">
        <v>-26</v>
      </c>
      <c r="AV351" s="884">
        <v>25</v>
      </c>
      <c r="AW351" s="884">
        <v>35</v>
      </c>
      <c r="AX351" s="884">
        <v>20</v>
      </c>
      <c r="AY351" s="177">
        <f t="shared" si="759"/>
        <v>34</v>
      </c>
      <c r="AZ351" s="984">
        <v>34</v>
      </c>
      <c r="BA351" s="884">
        <v>41</v>
      </c>
      <c r="BB351" s="884">
        <v>6</v>
      </c>
      <c r="BC351" s="884">
        <v>-1</v>
      </c>
      <c r="BD351" s="177">
        <f t="shared" si="760"/>
        <v>-17</v>
      </c>
      <c r="BE351" s="984">
        <v>-17</v>
      </c>
      <c r="BF351" s="884">
        <v>-7</v>
      </c>
      <c r="BG351" s="884">
        <v>-14</v>
      </c>
      <c r="BH351" s="905">
        <v>-20</v>
      </c>
      <c r="BI351" s="177">
        <f t="shared" si="761"/>
        <v>0</v>
      </c>
      <c r="BJ351" s="973"/>
      <c r="BK351" s="177"/>
      <c r="BL351" s="177"/>
      <c r="BM351" s="177"/>
      <c r="BN351" s="177">
        <f t="shared" si="762"/>
        <v>0</v>
      </c>
      <c r="BO351" s="973"/>
      <c r="BP351" s="973"/>
      <c r="BQ351" s="973"/>
      <c r="BR351" s="973"/>
      <c r="BS351" s="229"/>
    </row>
    <row r="352" spans="1:71" s="44" customFormat="1" ht="15" hidden="1" outlineLevel="1">
      <c r="A352" s="109" t="s">
        <v>133</v>
      </c>
      <c r="B352" s="367"/>
      <c r="C352" s="983">
        <f t="shared" si="763" ref="C352:AU352">SUM(C345:C351)</f>
        <v>699</v>
      </c>
      <c r="D352" s="983">
        <f t="shared" si="763"/>
        <v>161</v>
      </c>
      <c r="E352" s="983">
        <f t="shared" si="763"/>
        <v>64</v>
      </c>
      <c r="F352" s="983">
        <f t="shared" si="763"/>
        <v>1945</v>
      </c>
      <c r="G352" s="983">
        <f t="shared" si="763"/>
        <v>1136</v>
      </c>
      <c r="H352" s="111">
        <f t="shared" si="763"/>
        <v>-32</v>
      </c>
      <c r="I352" s="111">
        <f t="shared" si="763"/>
        <v>201</v>
      </c>
      <c r="J352" s="111">
        <f t="shared" si="763"/>
        <v>-322</v>
      </c>
      <c r="K352" s="111">
        <f t="shared" si="763"/>
        <v>-147</v>
      </c>
      <c r="L352" s="983">
        <f t="shared" si="763"/>
        <v>-147</v>
      </c>
      <c r="M352" s="111">
        <f t="shared" si="763"/>
        <v>322</v>
      </c>
      <c r="N352" s="111">
        <f t="shared" si="763"/>
        <v>-1087</v>
      </c>
      <c r="O352" s="111">
        <f t="shared" si="763"/>
        <v>-1826</v>
      </c>
      <c r="P352" s="111">
        <f t="shared" si="763"/>
        <v>-2187</v>
      </c>
      <c r="Q352" s="983">
        <f t="shared" si="763"/>
        <v>-2187</v>
      </c>
      <c r="R352" s="111">
        <f t="shared" si="763"/>
        <v>-766</v>
      </c>
      <c r="S352" s="111">
        <f t="shared" si="763"/>
        <v>-1281</v>
      </c>
      <c r="T352" s="111">
        <f t="shared" si="763"/>
        <v>-835</v>
      </c>
      <c r="U352" s="111">
        <f t="shared" si="763"/>
        <v>-1619</v>
      </c>
      <c r="V352" s="983">
        <f t="shared" si="763"/>
        <v>-1619</v>
      </c>
      <c r="W352" s="111">
        <f t="shared" si="763"/>
        <v>-876</v>
      </c>
      <c r="X352" s="111">
        <f t="shared" si="763"/>
        <v>-1231</v>
      </c>
      <c r="Y352" s="111">
        <f t="shared" si="763"/>
        <v>-1613</v>
      </c>
      <c r="Z352" s="111">
        <f t="shared" si="763"/>
        <v>-2065</v>
      </c>
      <c r="AA352" s="983">
        <f t="shared" si="763"/>
        <v>-2065</v>
      </c>
      <c r="AB352" s="111">
        <f t="shared" si="763"/>
        <v>-473</v>
      </c>
      <c r="AC352" s="111">
        <f t="shared" si="763"/>
        <v>-988</v>
      </c>
      <c r="AD352" s="111">
        <f t="shared" si="763"/>
        <v>-1513</v>
      </c>
      <c r="AE352" s="111">
        <f t="shared" si="763"/>
        <v>-1616</v>
      </c>
      <c r="AF352" s="983">
        <f t="shared" si="763"/>
        <v>-1616</v>
      </c>
      <c r="AG352" s="111">
        <f t="shared" si="763"/>
        <v>-686</v>
      </c>
      <c r="AH352" s="111">
        <f t="shared" si="763"/>
        <v>-978</v>
      </c>
      <c r="AI352" s="111">
        <f t="shared" si="763"/>
        <v>-1429</v>
      </c>
      <c r="AJ352" s="111">
        <f t="shared" si="763"/>
        <v>-1713</v>
      </c>
      <c r="AK352" s="983">
        <f t="shared" si="763"/>
        <v>-1713</v>
      </c>
      <c r="AL352" s="25">
        <f t="shared" si="763"/>
        <v>-446</v>
      </c>
      <c r="AM352" s="25">
        <f t="shared" si="763"/>
        <v>152</v>
      </c>
      <c r="AN352" s="25">
        <f t="shared" si="763"/>
        <v>-431</v>
      </c>
      <c r="AO352" s="25">
        <f t="shared" si="763"/>
        <v>-1115</v>
      </c>
      <c r="AP352" s="982">
        <f t="shared" si="763"/>
        <v>-1115</v>
      </c>
      <c r="AQ352" s="25">
        <f t="shared" si="763"/>
        <v>-470</v>
      </c>
      <c r="AR352" s="25">
        <f t="shared" si="763"/>
        <v>-1141</v>
      </c>
      <c r="AS352" s="25">
        <f t="shared" si="763"/>
        <v>-1897</v>
      </c>
      <c r="AT352" s="25">
        <f t="shared" si="763"/>
        <v>-2739</v>
      </c>
      <c r="AU352" s="982">
        <f t="shared" si="763"/>
        <v>-2739</v>
      </c>
      <c r="AV352" s="25">
        <f t="shared" si="764" ref="AV352:AZ352">SUM(AV345:AV351)</f>
        <v>-737</v>
      </c>
      <c r="AW352" s="25">
        <f t="shared" si="764"/>
        <v>-1644</v>
      </c>
      <c r="AX352" s="25">
        <f t="shared" si="764"/>
        <v>-2256</v>
      </c>
      <c r="AY352" s="25">
        <f t="shared" si="764"/>
        <v>-3551</v>
      </c>
      <c r="AZ352" s="982">
        <f t="shared" si="764"/>
        <v>-3551</v>
      </c>
      <c r="BA352" s="25">
        <f t="shared" si="765" ref="BA352:BJ352">SUM(BA345:BA351)</f>
        <v>-933</v>
      </c>
      <c r="BB352" s="25">
        <f t="shared" si="765"/>
        <v>-1944</v>
      </c>
      <c r="BC352" s="25">
        <f>SUM(BC345:BC351)</f>
        <v>-2936</v>
      </c>
      <c r="BD352" s="25">
        <f t="shared" si="765"/>
        <v>-3723</v>
      </c>
      <c r="BE352" s="982">
        <f t="shared" si="765"/>
        <v>-3723</v>
      </c>
      <c r="BF352" s="25">
        <f>SUM(BF345:BF351)</f>
        <v>-256</v>
      </c>
      <c r="BG352" s="25">
        <f>SUM(BG345:BG351)</f>
        <v>-1576</v>
      </c>
      <c r="BH352" s="749">
        <f>SUM(BH345:BH351)</f>
        <v>-2402</v>
      </c>
      <c r="BI352" s="25">
        <f>SUM(BI345:BI351)</f>
        <v>0</v>
      </c>
      <c r="BJ352" s="982">
        <f t="shared" si="765"/>
        <v>0</v>
      </c>
      <c r="BK352" s="25">
        <f t="shared" si="766" ref="BK352:BR352">SUM(BK345:BK351)</f>
        <v>0</v>
      </c>
      <c r="BL352" s="25">
        <f t="shared" si="766"/>
        <v>0</v>
      </c>
      <c r="BM352" s="25">
        <f t="shared" si="766"/>
        <v>0</v>
      </c>
      <c r="BN352" s="25">
        <f t="shared" si="766"/>
        <v>0</v>
      </c>
      <c r="BO352" s="982">
        <f t="shared" si="766"/>
        <v>0</v>
      </c>
      <c r="BP352" s="982">
        <f t="shared" si="766"/>
        <v>0</v>
      </c>
      <c r="BQ352" s="982">
        <f t="shared" si="766"/>
        <v>0</v>
      </c>
      <c r="BR352" s="982">
        <f t="shared" si="766"/>
        <v>0</v>
      </c>
      <c r="BS352" s="100"/>
    </row>
    <row r="353" spans="1:71" s="44" customFormat="1" ht="15" hidden="1" outlineLevel="1">
      <c r="A353" s="368"/>
      <c r="B353" s="369"/>
      <c r="C353" s="978"/>
      <c r="D353" s="978"/>
      <c r="E353" s="978"/>
      <c r="F353" s="978"/>
      <c r="G353" s="978"/>
      <c r="H353" s="185"/>
      <c r="I353" s="185"/>
      <c r="J353" s="185"/>
      <c r="K353" s="185"/>
      <c r="L353" s="978"/>
      <c r="M353" s="185"/>
      <c r="N353" s="185"/>
      <c r="O353" s="185"/>
      <c r="P353" s="185"/>
      <c r="Q353" s="978"/>
      <c r="R353" s="185"/>
      <c r="S353" s="185"/>
      <c r="T353" s="185"/>
      <c r="U353" s="185"/>
      <c r="V353" s="978"/>
      <c r="W353" s="185"/>
      <c r="X353" s="185"/>
      <c r="Y353" s="185"/>
      <c r="Z353" s="185"/>
      <c r="AA353" s="978"/>
      <c r="AB353" s="185"/>
      <c r="AC353" s="185"/>
      <c r="AD353" s="185"/>
      <c r="AE353" s="185"/>
      <c r="AF353" s="978"/>
      <c r="AG353" s="185"/>
      <c r="AH353" s="185"/>
      <c r="AI353" s="185"/>
      <c r="AJ353" s="185"/>
      <c r="AK353" s="978"/>
      <c r="AL353" s="185"/>
      <c r="AM353" s="185"/>
      <c r="AN353" s="185"/>
      <c r="AO353" s="185"/>
      <c r="AP353" s="978"/>
      <c r="AQ353" s="185"/>
      <c r="AR353" s="185"/>
      <c r="AS353" s="185"/>
      <c r="AT353" s="185"/>
      <c r="AU353" s="978"/>
      <c r="AV353" s="185"/>
      <c r="AW353" s="185"/>
      <c r="AX353" s="185"/>
      <c r="AY353" s="185"/>
      <c r="AZ353" s="978"/>
      <c r="BA353" s="185"/>
      <c r="BB353" s="185"/>
      <c r="BC353" s="185"/>
      <c r="BD353" s="185"/>
      <c r="BE353" s="978"/>
      <c r="BF353" s="185"/>
      <c r="BG353" s="185"/>
      <c r="BH353" s="552"/>
      <c r="BI353" s="185"/>
      <c r="BJ353" s="978"/>
      <c r="BK353" s="185"/>
      <c r="BL353" s="185"/>
      <c r="BM353" s="185"/>
      <c r="BN353" s="185"/>
      <c r="BO353" s="978"/>
      <c r="BP353" s="978"/>
      <c r="BQ353" s="978"/>
      <c r="BR353" s="978"/>
      <c r="BS353" s="100"/>
    </row>
    <row r="354" spans="1:71" s="224" customFormat="1" ht="15" hidden="1" outlineLevel="1">
      <c r="A354" s="178" t="s">
        <v>134</v>
      </c>
      <c r="B354" s="363"/>
      <c r="C354" s="1002">
        <v>-2</v>
      </c>
      <c r="D354" s="1002">
        <v>80</v>
      </c>
      <c r="E354" s="1002">
        <v>51</v>
      </c>
      <c r="F354" s="1002">
        <v>-153</v>
      </c>
      <c r="G354" s="1002">
        <v>-90</v>
      </c>
      <c r="H354" s="908">
        <v>-9</v>
      </c>
      <c r="I354" s="908">
        <v>-30</v>
      </c>
      <c r="J354" s="908">
        <v>12</v>
      </c>
      <c r="K354" s="426">
        <f>+L354</f>
        <v>-47</v>
      </c>
      <c r="L354" s="1002">
        <v>-47</v>
      </c>
      <c r="M354" s="908">
        <v>1</v>
      </c>
      <c r="N354" s="908">
        <v>-5</v>
      </c>
      <c r="O354" s="908">
        <v>1</v>
      </c>
      <c r="P354" s="426">
        <f>+Q354</f>
        <v>0</v>
      </c>
      <c r="Q354" s="1002">
        <v>0</v>
      </c>
      <c r="R354" s="908">
        <v>21</v>
      </c>
      <c r="S354" s="908">
        <v>206</v>
      </c>
      <c r="T354" s="908">
        <v>273</v>
      </c>
      <c r="U354" s="426">
        <f>+V354</f>
        <v>-4</v>
      </c>
      <c r="V354" s="1002">
        <v>-4</v>
      </c>
      <c r="W354" s="908">
        <v>-8</v>
      </c>
      <c r="X354" s="908">
        <v>-12</v>
      </c>
      <c r="Y354" s="908">
        <v>-28</v>
      </c>
      <c r="Z354" s="426">
        <f>+AA354</f>
        <v>0</v>
      </c>
      <c r="AA354" s="1002">
        <v>0</v>
      </c>
      <c r="AB354" s="908">
        <v>23</v>
      </c>
      <c r="AC354" s="908">
        <v>-20</v>
      </c>
      <c r="AD354" s="908">
        <v>-36</v>
      </c>
      <c r="AE354" s="426">
        <f>+AF354</f>
        <v>30</v>
      </c>
      <c r="AF354" s="1002">
        <v>30</v>
      </c>
      <c r="AG354" s="908">
        <v>-12</v>
      </c>
      <c r="AH354" s="908">
        <v>30</v>
      </c>
      <c r="AI354" s="908">
        <v>-9</v>
      </c>
      <c r="AJ354" s="426">
        <f>+AK354</f>
        <v>-12</v>
      </c>
      <c r="AK354" s="1002">
        <v>-12</v>
      </c>
      <c r="AL354" s="891">
        <v>0</v>
      </c>
      <c r="AM354" s="891">
        <v>-1</v>
      </c>
      <c r="AN354" s="891">
        <v>8</v>
      </c>
      <c r="AO354" s="176">
        <f>AP354</f>
        <v>21</v>
      </c>
      <c r="AP354" s="992">
        <v>21</v>
      </c>
      <c r="AQ354" s="891">
        <v>-78</v>
      </c>
      <c r="AR354" s="891">
        <v>-20</v>
      </c>
      <c r="AS354" s="891">
        <v>-46</v>
      </c>
      <c r="AT354" s="176">
        <f>AU354</f>
        <v>-24</v>
      </c>
      <c r="AU354" s="992">
        <v>-24</v>
      </c>
      <c r="AV354" s="891">
        <v>-89</v>
      </c>
      <c r="AW354" s="891">
        <v>-87</v>
      </c>
      <c r="AX354" s="891">
        <v>-84</v>
      </c>
      <c r="AY354" s="176">
        <f>AZ354</f>
        <v>104</v>
      </c>
      <c r="AZ354" s="992">
        <v>104</v>
      </c>
      <c r="BA354" s="891">
        <v>-14</v>
      </c>
      <c r="BB354" s="891">
        <v>-99</v>
      </c>
      <c r="BC354" s="891">
        <v>-91</v>
      </c>
      <c r="BD354" s="176">
        <f>BE354</f>
        <v>79</v>
      </c>
      <c r="BE354" s="992">
        <v>79</v>
      </c>
      <c r="BF354" s="891">
        <v>-28</v>
      </c>
      <c r="BG354" s="891">
        <v>-68</v>
      </c>
      <c r="BH354" s="892">
        <v>70</v>
      </c>
      <c r="BI354" s="176">
        <f>BJ354</f>
        <v>0</v>
      </c>
      <c r="BJ354" s="971"/>
      <c r="BK354" s="176"/>
      <c r="BL354" s="176"/>
      <c r="BM354" s="176"/>
      <c r="BN354" s="176">
        <f>BO354</f>
        <v>0</v>
      </c>
      <c r="BO354" s="971"/>
      <c r="BP354" s="971"/>
      <c r="BQ354" s="971"/>
      <c r="BR354" s="971"/>
      <c r="BS354" s="229"/>
    </row>
    <row r="355" spans="1:71" s="44" customFormat="1" ht="15" hidden="1" outlineLevel="1">
      <c r="A355" s="108" t="s">
        <v>135</v>
      </c>
      <c r="B355" s="369"/>
      <c r="C355" s="977">
        <f t="shared" si="767" ref="C355:AM355">C352+C342+C323+C354</f>
        <v>1382</v>
      </c>
      <c r="D355" s="977">
        <f t="shared" si="767"/>
        <v>-202</v>
      </c>
      <c r="E355" s="977">
        <f t="shared" si="767"/>
        <v>128</v>
      </c>
      <c r="F355" s="977">
        <f t="shared" si="767"/>
        <v>-208</v>
      </c>
      <c r="G355" s="977">
        <f t="shared" si="767"/>
        <v>502</v>
      </c>
      <c r="H355" s="100">
        <f t="shared" si="767"/>
        <v>-549</v>
      </c>
      <c r="I355" s="100">
        <f t="shared" si="767"/>
        <v>-291</v>
      </c>
      <c r="J355" s="100">
        <f t="shared" si="767"/>
        <v>123</v>
      </c>
      <c r="K355" s="100">
        <f t="shared" si="767"/>
        <v>2115</v>
      </c>
      <c r="L355" s="977">
        <f t="shared" si="767"/>
        <v>2115</v>
      </c>
      <c r="M355" s="100">
        <f t="shared" si="767"/>
        <v>-295</v>
      </c>
      <c r="N355" s="100">
        <f t="shared" si="767"/>
        <v>-1555</v>
      </c>
      <c r="O355" s="100">
        <f t="shared" si="767"/>
        <v>-1138</v>
      </c>
      <c r="P355" s="100">
        <f t="shared" si="767"/>
        <v>-308</v>
      </c>
      <c r="Q355" s="977">
        <f t="shared" si="767"/>
        <v>-308</v>
      </c>
      <c r="R355" s="100">
        <f t="shared" si="767"/>
        <v>-901</v>
      </c>
      <c r="S355" s="100">
        <f t="shared" si="767"/>
        <v>-650</v>
      </c>
      <c r="T355" s="100">
        <f t="shared" si="767"/>
        <v>920</v>
      </c>
      <c r="U355" s="100">
        <f t="shared" si="767"/>
        <v>509</v>
      </c>
      <c r="V355" s="977">
        <f t="shared" si="767"/>
        <v>509</v>
      </c>
      <c r="W355" s="100">
        <f t="shared" si="767"/>
        <v>-654</v>
      </c>
      <c r="X355" s="100">
        <f t="shared" si="767"/>
        <v>-595</v>
      </c>
      <c r="Y355" s="100">
        <f t="shared" si="767"/>
        <v>68</v>
      </c>
      <c r="Z355" s="100">
        <f t="shared" si="767"/>
        <v>-1368</v>
      </c>
      <c r="AA355" s="977">
        <f t="shared" si="767"/>
        <v>-1368</v>
      </c>
      <c r="AB355" s="100">
        <f t="shared" si="767"/>
        <v>589</v>
      </c>
      <c r="AC355" s="100">
        <f t="shared" si="767"/>
        <v>356</v>
      </c>
      <c r="AD355" s="100">
        <f t="shared" si="767"/>
        <v>-62</v>
      </c>
      <c r="AE355" s="100">
        <f t="shared" si="767"/>
        <v>846</v>
      </c>
      <c r="AF355" s="977">
        <f t="shared" si="767"/>
        <v>846</v>
      </c>
      <c r="AG355" s="100">
        <f t="shared" si="767"/>
        <v>-445</v>
      </c>
      <c r="AH355" s="100">
        <f t="shared" si="767"/>
        <v>-1318</v>
      </c>
      <c r="AI355" s="100">
        <f t="shared" si="767"/>
        <v>-121</v>
      </c>
      <c r="AJ355" s="100">
        <f t="shared" si="767"/>
        <v>559</v>
      </c>
      <c r="AK355" s="977">
        <f t="shared" si="767"/>
        <v>559</v>
      </c>
      <c r="AL355" s="185">
        <f t="shared" si="767"/>
        <v>-748</v>
      </c>
      <c r="AM355" s="185">
        <f t="shared" si="767"/>
        <v>632</v>
      </c>
      <c r="AN355" s="185">
        <f t="shared" si="768" ref="AN355:AR355">AN352+AN342+AN323+AN354</f>
        <v>667</v>
      </c>
      <c r="AO355" s="185">
        <f t="shared" si="768"/>
        <v>245</v>
      </c>
      <c r="AP355" s="978">
        <f t="shared" si="768"/>
        <v>245</v>
      </c>
      <c r="AQ355" s="185">
        <f t="shared" si="768"/>
        <v>-151</v>
      </c>
      <c r="AR355" s="185">
        <f t="shared" si="768"/>
        <v>328</v>
      </c>
      <c r="AS355" s="185">
        <f t="shared" si="769" ref="AS355:AV355">AS352+AS342+AS323+AS354</f>
        <v>1067</v>
      </c>
      <c r="AT355" s="185">
        <f t="shared" si="769"/>
        <v>-90</v>
      </c>
      <c r="AU355" s="978">
        <f t="shared" si="769"/>
        <v>-90</v>
      </c>
      <c r="AV355" s="185">
        <f t="shared" si="769"/>
        <v>-776</v>
      </c>
      <c r="AW355" s="185">
        <f t="shared" si="770" ref="AW355:BB355">AW352+AW342+AW323+AW354</f>
        <v>122</v>
      </c>
      <c r="AX355" s="185">
        <f t="shared" si="770"/>
        <v>-341</v>
      </c>
      <c r="AY355" s="185">
        <f t="shared" si="770"/>
        <v>-1108</v>
      </c>
      <c r="AZ355" s="978">
        <f t="shared" si="770"/>
        <v>-1108</v>
      </c>
      <c r="BA355" s="185">
        <f t="shared" si="770"/>
        <v>-134</v>
      </c>
      <c r="BB355" s="185">
        <f t="shared" si="770"/>
        <v>777</v>
      </c>
      <c r="BC355" s="185">
        <f>BC352+BC342+BC323+BC354</f>
        <v>1559</v>
      </c>
      <c r="BD355" s="185">
        <f t="shared" si="771" ref="BD355:BG355">BD352+BD342+BD323+BD354</f>
        <v>363</v>
      </c>
      <c r="BE355" s="978">
        <f t="shared" si="771"/>
        <v>363</v>
      </c>
      <c r="BF355" s="185">
        <f t="shared" si="771"/>
        <v>792</v>
      </c>
      <c r="BG355" s="185">
        <f t="shared" si="771"/>
        <v>1754</v>
      </c>
      <c r="BH355" s="552">
        <f>BH352+BH342+BH323+BH354</f>
        <v>1306</v>
      </c>
      <c r="BI355" s="185">
        <f>BI352+BI342+BI323+BI354</f>
        <v>0</v>
      </c>
      <c r="BJ355" s="978">
        <f t="shared" si="772" ref="BJ355">BJ352+BJ342+BJ323+BJ354</f>
        <v>0</v>
      </c>
      <c r="BK355" s="185">
        <f t="shared" si="773" ref="BK355:BR355">BK352+BK342+BK323+BK354</f>
        <v>0</v>
      </c>
      <c r="BL355" s="185">
        <f t="shared" si="773"/>
        <v>0</v>
      </c>
      <c r="BM355" s="185">
        <f t="shared" si="773"/>
        <v>0</v>
      </c>
      <c r="BN355" s="185">
        <f t="shared" si="773"/>
        <v>0</v>
      </c>
      <c r="BO355" s="978">
        <f t="shared" si="773"/>
        <v>0</v>
      </c>
      <c r="BP355" s="978">
        <f t="shared" si="773"/>
        <v>0</v>
      </c>
      <c r="BQ355" s="978">
        <f t="shared" si="773"/>
        <v>0</v>
      </c>
      <c r="BR355" s="978">
        <f t="shared" si="773"/>
        <v>0</v>
      </c>
      <c r="BS355" s="100"/>
    </row>
    <row r="356" spans="1:71" s="44" customFormat="1" ht="15" hidden="1" outlineLevel="1">
      <c r="A356" s="368"/>
      <c r="B356" s="369"/>
      <c r="C356" s="978"/>
      <c r="D356" s="978"/>
      <c r="E356" s="978"/>
      <c r="F356" s="978"/>
      <c r="G356" s="978"/>
      <c r="H356" s="185"/>
      <c r="I356" s="185"/>
      <c r="J356" s="185"/>
      <c r="K356" s="185"/>
      <c r="L356" s="978"/>
      <c r="M356" s="185"/>
      <c r="N356" s="185"/>
      <c r="O356" s="185"/>
      <c r="P356" s="185"/>
      <c r="Q356" s="978"/>
      <c r="R356" s="185"/>
      <c r="S356" s="185"/>
      <c r="T356" s="185"/>
      <c r="U356" s="185"/>
      <c r="V356" s="978"/>
      <c r="W356" s="185"/>
      <c r="X356" s="185"/>
      <c r="Y356" s="185"/>
      <c r="Z356" s="185"/>
      <c r="AA356" s="978"/>
      <c r="AB356" s="185"/>
      <c r="AC356" s="185"/>
      <c r="AD356" s="185"/>
      <c r="AE356" s="185"/>
      <c r="AF356" s="978"/>
      <c r="AG356" s="185"/>
      <c r="AH356" s="185"/>
      <c r="AI356" s="185"/>
      <c r="AJ356" s="185"/>
      <c r="AK356" s="978"/>
      <c r="AL356" s="185"/>
      <c r="AM356" s="185"/>
      <c r="AN356" s="185"/>
      <c r="AO356" s="185"/>
      <c r="AP356" s="978"/>
      <c r="AQ356" s="185"/>
      <c r="AR356" s="185"/>
      <c r="AS356" s="185"/>
      <c r="AT356" s="185"/>
      <c r="AU356" s="978"/>
      <c r="AV356" s="185"/>
      <c r="AW356" s="185"/>
      <c r="AX356" s="185"/>
      <c r="AY356" s="185"/>
      <c r="AZ356" s="978"/>
      <c r="BA356" s="185"/>
      <c r="BB356" s="185"/>
      <c r="BC356" s="185"/>
      <c r="BD356" s="185"/>
      <c r="BE356" s="978"/>
      <c r="BF356" s="185"/>
      <c r="BG356" s="185"/>
      <c r="BH356" s="552"/>
      <c r="BI356" s="185"/>
      <c r="BJ356" s="978"/>
      <c r="BK356" s="185"/>
      <c r="BL356" s="185"/>
      <c r="BM356" s="185"/>
      <c r="BN356" s="185"/>
      <c r="BO356" s="978"/>
      <c r="BP356" s="978"/>
      <c r="BQ356" s="978"/>
      <c r="BR356" s="978"/>
      <c r="BS356" s="100"/>
    </row>
    <row r="357" spans="1:71" s="44" customFormat="1" ht="15" hidden="1" outlineLevel="1">
      <c r="A357" s="108" t="s">
        <v>136</v>
      </c>
      <c r="B357" s="369"/>
      <c r="C357" s="991">
        <v>941</v>
      </c>
      <c r="D357" s="977">
        <f>C358</f>
        <v>2323</v>
      </c>
      <c r="E357" s="977">
        <f>D358</f>
        <v>2121</v>
      </c>
      <c r="F357" s="977">
        <f>E358</f>
        <v>2249</v>
      </c>
      <c r="G357" s="977">
        <f>F358</f>
        <v>2041</v>
      </c>
      <c r="H357" s="100">
        <f>G358</f>
        <v>2543</v>
      </c>
      <c r="I357" s="100">
        <f>H357</f>
        <v>2543</v>
      </c>
      <c r="J357" s="100">
        <f>I357</f>
        <v>2543</v>
      </c>
      <c r="K357" s="100">
        <f>J357</f>
        <v>2543</v>
      </c>
      <c r="L357" s="977">
        <f>K357</f>
        <v>2543</v>
      </c>
      <c r="M357" s="100">
        <f>L358</f>
        <v>4658</v>
      </c>
      <c r="N357" s="100">
        <f>M357</f>
        <v>4658</v>
      </c>
      <c r="O357" s="100">
        <f>N357</f>
        <v>4658</v>
      </c>
      <c r="P357" s="100">
        <f>O357</f>
        <v>4658</v>
      </c>
      <c r="Q357" s="977">
        <f>P357</f>
        <v>4658</v>
      </c>
      <c r="R357" s="100">
        <f>Q358</f>
        <v>4350</v>
      </c>
      <c r="S357" s="100">
        <f>R357</f>
        <v>4350</v>
      </c>
      <c r="T357" s="100">
        <f>S357</f>
        <v>4350</v>
      </c>
      <c r="U357" s="100">
        <f>T357</f>
        <v>4350</v>
      </c>
      <c r="V357" s="977">
        <f>U357</f>
        <v>4350</v>
      </c>
      <c r="W357" s="100">
        <f>V358</f>
        <v>4859</v>
      </c>
      <c r="X357" s="100">
        <f>W357</f>
        <v>4859</v>
      </c>
      <c r="Y357" s="100">
        <f>X357</f>
        <v>4859</v>
      </c>
      <c r="Z357" s="100">
        <f>Y357</f>
        <v>4859</v>
      </c>
      <c r="AA357" s="977">
        <f>Z357</f>
        <v>4859</v>
      </c>
      <c r="AB357" s="100">
        <f>AA358</f>
        <v>3491</v>
      </c>
      <c r="AC357" s="100">
        <f>AB357</f>
        <v>3491</v>
      </c>
      <c r="AD357" s="100">
        <f>AC357</f>
        <v>3491</v>
      </c>
      <c r="AE357" s="100">
        <f>AD357</f>
        <v>3491</v>
      </c>
      <c r="AF357" s="977">
        <f>AE357</f>
        <v>3491</v>
      </c>
      <c r="AG357" s="100">
        <f>AF358</f>
        <v>4337</v>
      </c>
      <c r="AH357" s="100">
        <f>AG357</f>
        <v>4337</v>
      </c>
      <c r="AI357" s="100">
        <f>AH357</f>
        <v>4337</v>
      </c>
      <c r="AJ357" s="100">
        <f>AI357</f>
        <v>4337</v>
      </c>
      <c r="AK357" s="977">
        <f>AJ357</f>
        <v>4337</v>
      </c>
      <c r="AL357" s="100">
        <f>AK358</f>
        <v>4896</v>
      </c>
      <c r="AM357" s="100">
        <f>AL357</f>
        <v>4896</v>
      </c>
      <c r="AN357" s="100">
        <f>AM357</f>
        <v>4896</v>
      </c>
      <c r="AO357" s="100">
        <f>AN357</f>
        <v>4896</v>
      </c>
      <c r="AP357" s="977">
        <f>AO357</f>
        <v>4896</v>
      </c>
      <c r="AQ357" s="185">
        <f>AP358</f>
        <v>5141</v>
      </c>
      <c r="AR357" s="185">
        <f>AQ357</f>
        <v>5141</v>
      </c>
      <c r="AS357" s="185">
        <f>AR357</f>
        <v>5141</v>
      </c>
      <c r="AT357" s="185">
        <f>AS357</f>
        <v>5141</v>
      </c>
      <c r="AU357" s="978">
        <f>AT357</f>
        <v>5141</v>
      </c>
      <c r="AV357" s="185">
        <f>AU358</f>
        <v>5051</v>
      </c>
      <c r="AW357" s="185">
        <f t="shared" si="774" ref="AW357:AX357">AV357</f>
        <v>5051</v>
      </c>
      <c r="AX357" s="185">
        <f t="shared" si="774"/>
        <v>5051</v>
      </c>
      <c r="AY357" s="185">
        <f>AX357</f>
        <v>5051</v>
      </c>
      <c r="AZ357" s="978">
        <f>AY357</f>
        <v>5051</v>
      </c>
      <c r="BA357" s="185">
        <f>AZ358</f>
        <v>3943</v>
      </c>
      <c r="BB357" s="185">
        <f>BA357</f>
        <v>3943</v>
      </c>
      <c r="BC357" s="185">
        <f>BB357</f>
        <v>3943</v>
      </c>
      <c r="BD357" s="185">
        <f>BC357</f>
        <v>3943</v>
      </c>
      <c r="BE357" s="978">
        <f>BD357</f>
        <v>3943</v>
      </c>
      <c r="BF357" s="185">
        <f>BE358</f>
        <v>4306</v>
      </c>
      <c r="BG357" s="185">
        <f>BF357</f>
        <v>4306</v>
      </c>
      <c r="BH357" s="552">
        <f>BG357</f>
        <v>4306</v>
      </c>
      <c r="BI357" s="185"/>
      <c r="BJ357" s="978"/>
      <c r="BK357" s="185"/>
      <c r="BL357" s="185"/>
      <c r="BM357" s="185"/>
      <c r="BN357" s="185"/>
      <c r="BO357" s="978"/>
      <c r="BP357" s="978"/>
      <c r="BQ357" s="978"/>
      <c r="BR357" s="978"/>
      <c r="BS357" s="100"/>
    </row>
    <row r="358" spans="1:71" s="44" customFormat="1" ht="15" hidden="1" outlineLevel="1">
      <c r="A358" s="108" t="s">
        <v>137</v>
      </c>
      <c r="B358" s="369"/>
      <c r="C358" s="977">
        <f t="shared" si="775" ref="C358:AM358">C355+C357</f>
        <v>2323</v>
      </c>
      <c r="D358" s="977">
        <f t="shared" si="775"/>
        <v>2121</v>
      </c>
      <c r="E358" s="977">
        <f t="shared" si="775"/>
        <v>2249</v>
      </c>
      <c r="F358" s="977">
        <f t="shared" si="775"/>
        <v>2041</v>
      </c>
      <c r="G358" s="977">
        <f t="shared" si="775"/>
        <v>2543</v>
      </c>
      <c r="H358" s="100">
        <f t="shared" si="775"/>
        <v>1994</v>
      </c>
      <c r="I358" s="100">
        <f t="shared" si="775"/>
        <v>2252</v>
      </c>
      <c r="J358" s="100">
        <f t="shared" si="775"/>
        <v>2666</v>
      </c>
      <c r="K358" s="100">
        <f t="shared" si="775"/>
        <v>4658</v>
      </c>
      <c r="L358" s="977">
        <f t="shared" si="775"/>
        <v>4658</v>
      </c>
      <c r="M358" s="100">
        <f t="shared" si="775"/>
        <v>4363</v>
      </c>
      <c r="N358" s="100">
        <f t="shared" si="775"/>
        <v>3103</v>
      </c>
      <c r="O358" s="100">
        <f t="shared" si="775"/>
        <v>3520</v>
      </c>
      <c r="P358" s="100">
        <f t="shared" si="775"/>
        <v>4350</v>
      </c>
      <c r="Q358" s="977">
        <f t="shared" si="775"/>
        <v>4350</v>
      </c>
      <c r="R358" s="100">
        <f t="shared" si="775"/>
        <v>3449</v>
      </c>
      <c r="S358" s="100">
        <f t="shared" si="775"/>
        <v>3700</v>
      </c>
      <c r="T358" s="100">
        <f t="shared" si="775"/>
        <v>5270</v>
      </c>
      <c r="U358" s="100">
        <f t="shared" si="775"/>
        <v>4859</v>
      </c>
      <c r="V358" s="977">
        <f t="shared" si="775"/>
        <v>4859</v>
      </c>
      <c r="W358" s="100">
        <f t="shared" si="775"/>
        <v>4205</v>
      </c>
      <c r="X358" s="100">
        <f t="shared" si="775"/>
        <v>4264</v>
      </c>
      <c r="Y358" s="100">
        <f t="shared" si="775"/>
        <v>4927</v>
      </c>
      <c r="Z358" s="100">
        <f t="shared" si="775"/>
        <v>3491</v>
      </c>
      <c r="AA358" s="977">
        <f t="shared" si="775"/>
        <v>3491</v>
      </c>
      <c r="AB358" s="100">
        <f t="shared" si="775"/>
        <v>4080</v>
      </c>
      <c r="AC358" s="100">
        <f t="shared" si="775"/>
        <v>3847</v>
      </c>
      <c r="AD358" s="100">
        <f t="shared" si="775"/>
        <v>3429</v>
      </c>
      <c r="AE358" s="100">
        <f t="shared" si="775"/>
        <v>4337</v>
      </c>
      <c r="AF358" s="977">
        <f t="shared" si="775"/>
        <v>4337</v>
      </c>
      <c r="AG358" s="100">
        <f t="shared" si="775"/>
        <v>3892</v>
      </c>
      <c r="AH358" s="100">
        <f t="shared" si="775"/>
        <v>3019</v>
      </c>
      <c r="AI358" s="100">
        <f t="shared" si="775"/>
        <v>4216</v>
      </c>
      <c r="AJ358" s="100">
        <f t="shared" si="775"/>
        <v>4896</v>
      </c>
      <c r="AK358" s="977">
        <f t="shared" si="775"/>
        <v>4896</v>
      </c>
      <c r="AL358" s="100">
        <f t="shared" si="775"/>
        <v>4148</v>
      </c>
      <c r="AM358" s="100">
        <f t="shared" si="775"/>
        <v>5528</v>
      </c>
      <c r="AN358" s="100">
        <f t="shared" si="776" ref="AN358:AR358">AN355+AN357</f>
        <v>5563</v>
      </c>
      <c r="AO358" s="100">
        <f t="shared" si="776"/>
        <v>5141</v>
      </c>
      <c r="AP358" s="977">
        <f t="shared" si="776"/>
        <v>5141</v>
      </c>
      <c r="AQ358" s="185">
        <f t="shared" si="776"/>
        <v>4990</v>
      </c>
      <c r="AR358" s="185">
        <f t="shared" si="776"/>
        <v>5469</v>
      </c>
      <c r="AS358" s="185">
        <f t="shared" si="777" ref="AS358:AV358">AS355+AS357</f>
        <v>6208</v>
      </c>
      <c r="AT358" s="185">
        <f t="shared" si="777"/>
        <v>5051</v>
      </c>
      <c r="AU358" s="978">
        <f t="shared" si="777"/>
        <v>5051</v>
      </c>
      <c r="AV358" s="185">
        <f t="shared" si="777"/>
        <v>4275</v>
      </c>
      <c r="AW358" s="185">
        <f t="shared" si="778" ref="AW358:BB358">AW355+AW357</f>
        <v>5173</v>
      </c>
      <c r="AX358" s="185">
        <f t="shared" si="778"/>
        <v>4710</v>
      </c>
      <c r="AY358" s="185">
        <f t="shared" si="778"/>
        <v>3943</v>
      </c>
      <c r="AZ358" s="978">
        <f t="shared" si="778"/>
        <v>3943</v>
      </c>
      <c r="BA358" s="185">
        <f t="shared" si="778"/>
        <v>3809</v>
      </c>
      <c r="BB358" s="185">
        <f t="shared" si="778"/>
        <v>4720</v>
      </c>
      <c r="BC358" s="185">
        <f>BC355+BC357</f>
        <v>5502</v>
      </c>
      <c r="BD358" s="185">
        <f t="shared" si="779" ref="BD358:BG358">BD355+BD357</f>
        <v>4306</v>
      </c>
      <c r="BE358" s="978">
        <f t="shared" si="779"/>
        <v>4306</v>
      </c>
      <c r="BF358" s="185">
        <f t="shared" si="779"/>
        <v>5098</v>
      </c>
      <c r="BG358" s="185">
        <f t="shared" si="779"/>
        <v>6060</v>
      </c>
      <c r="BH358" s="552">
        <f>BH355+BH357</f>
        <v>5612</v>
      </c>
      <c r="BI358" s="185"/>
      <c r="BJ358" s="978"/>
      <c r="BK358" s="185"/>
      <c r="BL358" s="185"/>
      <c r="BM358" s="185"/>
      <c r="BN358" s="185"/>
      <c r="BO358" s="978"/>
      <c r="BP358" s="978"/>
      <c r="BQ358" s="978"/>
      <c r="BR358" s="978"/>
      <c r="BS358" s="100"/>
    </row>
    <row r="359" spans="1:71" s="44" customFormat="1" ht="15" hidden="1" outlineLevel="1">
      <c r="A359" s="368"/>
      <c r="B359" s="369"/>
      <c r="C359" s="978"/>
      <c r="D359" s="978"/>
      <c r="E359" s="978"/>
      <c r="F359" s="978"/>
      <c r="G359" s="978"/>
      <c r="H359" s="185"/>
      <c r="I359" s="185"/>
      <c r="J359" s="185"/>
      <c r="K359" s="185"/>
      <c r="L359" s="978"/>
      <c r="M359" s="185"/>
      <c r="N359" s="185"/>
      <c r="O359" s="185"/>
      <c r="P359" s="185"/>
      <c r="Q359" s="978"/>
      <c r="R359" s="185"/>
      <c r="S359" s="185"/>
      <c r="T359" s="185"/>
      <c r="U359" s="185"/>
      <c r="V359" s="978"/>
      <c r="W359" s="185"/>
      <c r="X359" s="185"/>
      <c r="Y359" s="185"/>
      <c r="Z359" s="185"/>
      <c r="AA359" s="978"/>
      <c r="AB359" s="185"/>
      <c r="AC359" s="185"/>
      <c r="AD359" s="185"/>
      <c r="AE359" s="185"/>
      <c r="AF359" s="978"/>
      <c r="AG359" s="185"/>
      <c r="AH359" s="185"/>
      <c r="AI359" s="185"/>
      <c r="AJ359" s="185"/>
      <c r="AK359" s="978"/>
      <c r="AL359" s="185"/>
      <c r="AM359" s="185"/>
      <c r="AN359" s="185"/>
      <c r="AO359" s="185"/>
      <c r="AP359" s="978"/>
      <c r="AQ359" s="185"/>
      <c r="AR359" s="185"/>
      <c r="AS359" s="185"/>
      <c r="AT359" s="185"/>
      <c r="AU359" s="978"/>
      <c r="AV359" s="185"/>
      <c r="AW359" s="185"/>
      <c r="AX359" s="185"/>
      <c r="AY359" s="185"/>
      <c r="AZ359" s="978"/>
      <c r="BA359" s="185"/>
      <c r="BB359" s="185"/>
      <c r="BC359" s="185"/>
      <c r="BD359" s="185"/>
      <c r="BE359" s="978"/>
      <c r="BF359" s="185"/>
      <c r="BG359" s="185"/>
      <c r="BH359" s="552"/>
      <c r="BI359" s="185"/>
      <c r="BJ359" s="978"/>
      <c r="BK359" s="185"/>
      <c r="BL359" s="185"/>
      <c r="BM359" s="185"/>
      <c r="BN359" s="185"/>
      <c r="BO359" s="978"/>
      <c r="BP359" s="978"/>
      <c r="BQ359" s="978"/>
      <c r="BR359" s="978"/>
      <c r="BS359" s="100"/>
    </row>
    <row r="360" spans="1:71" s="224" customFormat="1" ht="15" hidden="1" outlineLevel="1">
      <c r="A360" s="178" t="s">
        <v>475</v>
      </c>
      <c r="B360" s="363"/>
      <c r="C360" s="992">
        <v>61</v>
      </c>
      <c r="D360" s="992">
        <v>134</v>
      </c>
      <c r="E360" s="992">
        <v>164</v>
      </c>
      <c r="F360" s="992">
        <v>178</v>
      </c>
      <c r="G360" s="992">
        <v>210</v>
      </c>
      <c r="H360" s="891">
        <v>51</v>
      </c>
      <c r="I360" s="891">
        <v>121</v>
      </c>
      <c r="J360" s="891">
        <v>171</v>
      </c>
      <c r="K360" s="229">
        <f>L360</f>
        <v>241</v>
      </c>
      <c r="L360" s="992">
        <v>241</v>
      </c>
      <c r="M360" s="891">
        <v>47</v>
      </c>
      <c r="N360" s="891">
        <v>127</v>
      </c>
      <c r="O360" s="891">
        <v>188</v>
      </c>
      <c r="P360" s="229">
        <f>Q360</f>
        <v>236</v>
      </c>
      <c r="Q360" s="992">
        <v>236</v>
      </c>
      <c r="R360" s="891">
        <v>54</v>
      </c>
      <c r="S360" s="891">
        <v>101</v>
      </c>
      <c r="T360" s="891">
        <v>155</v>
      </c>
      <c r="U360" s="229">
        <f>V360</f>
        <v>211</v>
      </c>
      <c r="V360" s="992">
        <v>211</v>
      </c>
      <c r="W360" s="891">
        <v>47</v>
      </c>
      <c r="X360" s="891">
        <v>103</v>
      </c>
      <c r="Y360" s="891">
        <v>144</v>
      </c>
      <c r="Z360" s="229">
        <f>AA360</f>
        <v>196</v>
      </c>
      <c r="AA360" s="992">
        <v>196</v>
      </c>
      <c r="AB360" s="891">
        <v>36</v>
      </c>
      <c r="AC360" s="891">
        <v>90</v>
      </c>
      <c r="AD360" s="891">
        <v>124</v>
      </c>
      <c r="AE360" s="229">
        <f>AF360</f>
        <v>181</v>
      </c>
      <c r="AF360" s="992">
        <v>181</v>
      </c>
      <c r="AG360" s="891">
        <v>36</v>
      </c>
      <c r="AH360" s="891">
        <v>93</v>
      </c>
      <c r="AI360" s="891">
        <v>132</v>
      </c>
      <c r="AJ360" s="229">
        <f>AK360</f>
        <v>190</v>
      </c>
      <c r="AK360" s="992">
        <v>190</v>
      </c>
      <c r="AL360" s="891">
        <v>39</v>
      </c>
      <c r="AM360" s="891">
        <v>97</v>
      </c>
      <c r="AN360" s="891">
        <v>131</v>
      </c>
      <c r="AO360" s="229">
        <f>AP360</f>
        <v>210</v>
      </c>
      <c r="AP360" s="992">
        <v>210</v>
      </c>
      <c r="AQ360" s="891">
        <v>35</v>
      </c>
      <c r="AR360" s="891">
        <v>109</v>
      </c>
      <c r="AS360" s="891">
        <v>146</v>
      </c>
      <c r="AT360" s="176">
        <f>AU360</f>
        <v>213</v>
      </c>
      <c r="AU360" s="992">
        <v>213</v>
      </c>
      <c r="AV360" s="891">
        <v>37</v>
      </c>
      <c r="AW360" s="891">
        <v>104</v>
      </c>
      <c r="AX360" s="891">
        <v>153</v>
      </c>
      <c r="AY360" s="176">
        <f>AZ360</f>
        <v>211</v>
      </c>
      <c r="AZ360" s="992">
        <v>211</v>
      </c>
      <c r="BA360" s="891">
        <v>37</v>
      </c>
      <c r="BB360" s="891">
        <v>94</v>
      </c>
      <c r="BC360" s="891">
        <v>132</v>
      </c>
      <c r="BD360" s="176">
        <f>BE360</f>
        <v>185</v>
      </c>
      <c r="BE360" s="992">
        <v>185</v>
      </c>
      <c r="BF360" s="891">
        <v>34</v>
      </c>
      <c r="BG360" s="891">
        <v>87</v>
      </c>
      <c r="BH360" s="892">
        <v>127</v>
      </c>
      <c r="BI360" s="176"/>
      <c r="BJ360" s="971"/>
      <c r="BK360" s="176"/>
      <c r="BL360" s="176"/>
      <c r="BM360" s="176"/>
      <c r="BN360" s="176"/>
      <c r="BO360" s="971"/>
      <c r="BP360" s="971"/>
      <c r="BQ360" s="971"/>
      <c r="BR360" s="971"/>
      <c r="BS360" s="229"/>
    </row>
    <row r="361" spans="1:71" s="224" customFormat="1" ht="15" hidden="1" outlineLevel="1">
      <c r="A361" s="178" t="s">
        <v>476</v>
      </c>
      <c r="B361" s="363"/>
      <c r="C361" s="992">
        <v>627</v>
      </c>
      <c r="D361" s="992">
        <v>1017</v>
      </c>
      <c r="E361" s="992">
        <v>828</v>
      </c>
      <c r="F361" s="992">
        <v>788</v>
      </c>
      <c r="G361" s="992">
        <v>754</v>
      </c>
      <c r="H361" s="891">
        <v>699</v>
      </c>
      <c r="I361" s="891">
        <v>873</v>
      </c>
      <c r="J361" s="891">
        <v>1412</v>
      </c>
      <c r="K361" s="229">
        <f>L361</f>
        <v>1416</v>
      </c>
      <c r="L361" s="992">
        <v>1416</v>
      </c>
      <c r="M361" s="891">
        <v>517</v>
      </c>
      <c r="N361" s="891">
        <v>527</v>
      </c>
      <c r="O361" s="891">
        <v>996</v>
      </c>
      <c r="P361" s="229">
        <f>Q361</f>
        <v>996</v>
      </c>
      <c r="Q361" s="992">
        <v>996</v>
      </c>
      <c r="R361" s="891">
        <v>779</v>
      </c>
      <c r="S361" s="891">
        <v>944</v>
      </c>
      <c r="T361" s="891">
        <v>1594</v>
      </c>
      <c r="U361" s="229">
        <f>V361</f>
        <v>1526</v>
      </c>
      <c r="V361" s="992">
        <v>1526</v>
      </c>
      <c r="W361" s="891">
        <v>58</v>
      </c>
      <c r="X361" s="891">
        <v>293</v>
      </c>
      <c r="Y361" s="891">
        <v>693</v>
      </c>
      <c r="Z361" s="229">
        <f>AA361</f>
        <v>780</v>
      </c>
      <c r="AA361" s="992">
        <v>780</v>
      </c>
      <c r="AB361" s="891">
        <v>396</v>
      </c>
      <c r="AC361" s="891">
        <v>744</v>
      </c>
      <c r="AD361" s="891">
        <v>827</v>
      </c>
      <c r="AE361" s="229">
        <f>AF361</f>
        <v>998</v>
      </c>
      <c r="AF361" s="992">
        <v>998</v>
      </c>
      <c r="AG361" s="891">
        <v>-2</v>
      </c>
      <c r="AH361" s="891">
        <v>874</v>
      </c>
      <c r="AI361" s="891">
        <v>950</v>
      </c>
      <c r="AJ361" s="229">
        <f>AK361</f>
        <v>1384</v>
      </c>
      <c r="AK361" s="992">
        <v>1384</v>
      </c>
      <c r="AL361" s="891">
        <v>2</v>
      </c>
      <c r="AM361" s="891">
        <v>536</v>
      </c>
      <c r="AN361" s="891">
        <v>626</v>
      </c>
      <c r="AO361" s="229">
        <f>AP361</f>
        <v>800</v>
      </c>
      <c r="AP361" s="992">
        <v>800</v>
      </c>
      <c r="AQ361" s="891">
        <v>-20</v>
      </c>
      <c r="AR361" s="891">
        <v>480</v>
      </c>
      <c r="AS361" s="891">
        <v>478</v>
      </c>
      <c r="AT361" s="176">
        <f>AU361</f>
        <v>880</v>
      </c>
      <c r="AU361" s="992">
        <v>880</v>
      </c>
      <c r="AV361" s="891">
        <v>-77</v>
      </c>
      <c r="AW361" s="891">
        <v>505</v>
      </c>
      <c r="AX361" s="891">
        <v>600</v>
      </c>
      <c r="AY361" s="176">
        <f>AZ361</f>
        <v>961</v>
      </c>
      <c r="AZ361" s="992">
        <v>961</v>
      </c>
      <c r="BA361" s="891">
        <v>0</v>
      </c>
      <c r="BB361" s="891">
        <v>765</v>
      </c>
      <c r="BC361" s="891">
        <v>870</v>
      </c>
      <c r="BD361" s="176">
        <f>BE361</f>
        <v>1569</v>
      </c>
      <c r="BE361" s="992">
        <v>1569</v>
      </c>
      <c r="BF361" s="891">
        <v>0</v>
      </c>
      <c r="BG361" s="891">
        <v>777</v>
      </c>
      <c r="BH361" s="892">
        <v>805</v>
      </c>
      <c r="BI361" s="176"/>
      <c r="BJ361" s="971"/>
      <c r="BK361" s="176"/>
      <c r="BL361" s="176"/>
      <c r="BM361" s="176"/>
      <c r="BN361" s="176"/>
      <c r="BO361" s="971"/>
      <c r="BP361" s="971"/>
      <c r="BQ361" s="971"/>
      <c r="BR361" s="971"/>
      <c r="BS361" s="229"/>
    </row>
    <row r="362" spans="1:71" s="44" customFormat="1" ht="15" collapsed="1">
      <c r="A362" s="368"/>
      <c r="B362" s="369"/>
      <c r="C362" s="978"/>
      <c r="D362" s="978"/>
      <c r="E362" s="978"/>
      <c r="F362" s="978"/>
      <c r="G362" s="978"/>
      <c r="H362" s="185"/>
      <c r="I362" s="185"/>
      <c r="J362" s="185"/>
      <c r="K362" s="185"/>
      <c r="L362" s="978"/>
      <c r="M362" s="185"/>
      <c r="N362" s="185"/>
      <c r="O362" s="185"/>
      <c r="P362" s="185"/>
      <c r="Q362" s="978"/>
      <c r="R362" s="185"/>
      <c r="S362" s="185"/>
      <c r="T362" s="185"/>
      <c r="U362" s="185"/>
      <c r="V362" s="978"/>
      <c r="W362" s="185"/>
      <c r="X362" s="185"/>
      <c r="Y362" s="185"/>
      <c r="Z362" s="185"/>
      <c r="AA362" s="978"/>
      <c r="AB362" s="185"/>
      <c r="AC362" s="185"/>
      <c r="AD362" s="185"/>
      <c r="AE362" s="185"/>
      <c r="AF362" s="978"/>
      <c r="AG362" s="185"/>
      <c r="AH362" s="185"/>
      <c r="AI362" s="185"/>
      <c r="AJ362" s="185"/>
      <c r="AK362" s="978"/>
      <c r="AL362" s="185"/>
      <c r="AM362" s="185"/>
      <c r="AN362" s="185"/>
      <c r="AO362" s="185"/>
      <c r="AP362" s="978"/>
      <c r="AQ362" s="185"/>
      <c r="AR362" s="185"/>
      <c r="AS362" s="185"/>
      <c r="AT362" s="185"/>
      <c r="AU362" s="978"/>
      <c r="AV362" s="185"/>
      <c r="AW362" s="185"/>
      <c r="AX362" s="185"/>
      <c r="AY362" s="185"/>
      <c r="AZ362" s="978"/>
      <c r="BA362" s="185"/>
      <c r="BB362" s="185"/>
      <c r="BC362" s="185"/>
      <c r="BD362" s="185"/>
      <c r="BE362" s="978"/>
      <c r="BF362" s="185"/>
      <c r="BG362" s="185"/>
      <c r="BH362" s="552"/>
      <c r="BI362" s="185"/>
      <c r="BJ362" s="978"/>
      <c r="BK362" s="185"/>
      <c r="BL362" s="185"/>
      <c r="BM362" s="185"/>
      <c r="BN362" s="185"/>
      <c r="BO362" s="978"/>
      <c r="BP362" s="978"/>
      <c r="BQ362" s="978"/>
      <c r="BR362" s="978"/>
      <c r="BS362" s="100"/>
    </row>
    <row r="363" spans="1:71" s="44" customFormat="1" ht="15">
      <c r="A363" s="450" t="s">
        <v>138</v>
      </c>
      <c r="B363" s="450"/>
      <c r="C363" s="450"/>
      <c r="D363" s="450"/>
      <c r="E363" s="450"/>
      <c r="F363" s="450"/>
      <c r="G363" s="450"/>
      <c r="H363" s="450"/>
      <c r="I363" s="450"/>
      <c r="J363" s="450"/>
      <c r="K363" s="450"/>
      <c r="L363" s="450"/>
      <c r="M363" s="450"/>
      <c r="N363" s="450"/>
      <c r="O363" s="450"/>
      <c r="P363" s="450"/>
      <c r="Q363" s="450"/>
      <c r="R363" s="450"/>
      <c r="S363" s="450"/>
      <c r="T363" s="450"/>
      <c r="U363" s="450"/>
      <c r="V363" s="450"/>
      <c r="W363" s="450"/>
      <c r="X363" s="450"/>
      <c r="Y363" s="450"/>
      <c r="Z363" s="450"/>
      <c r="AA363" s="450"/>
      <c r="AB363" s="450"/>
      <c r="AC363" s="450"/>
      <c r="AD363" s="450"/>
      <c r="AE363" s="450"/>
      <c r="AF363" s="450"/>
      <c r="AG363" s="450"/>
      <c r="AH363" s="450"/>
      <c r="AI363" s="450"/>
      <c r="AJ363" s="450"/>
      <c r="AK363" s="450"/>
      <c r="AL363" s="450"/>
      <c r="AM363" s="450"/>
      <c r="AN363" s="450"/>
      <c r="AO363" s="450"/>
      <c r="AP363" s="450"/>
      <c r="AQ363" s="450"/>
      <c r="AR363" s="450"/>
      <c r="AS363" s="450"/>
      <c r="AT363" s="450"/>
      <c r="AU363" s="450"/>
      <c r="AV363" s="450"/>
      <c r="AW363" s="450"/>
      <c r="AX363" s="450"/>
      <c r="AY363" s="450"/>
      <c r="AZ363" s="450"/>
      <c r="BA363" s="450"/>
      <c r="BB363" s="450"/>
      <c r="BC363" s="450"/>
      <c r="BD363" s="450"/>
      <c r="BE363" s="450"/>
      <c r="BF363" s="450"/>
      <c r="BG363" s="450"/>
      <c r="BH363" s="553"/>
      <c r="BI363" s="450"/>
      <c r="BJ363" s="450"/>
      <c r="BK363" s="450"/>
      <c r="BL363" s="450"/>
      <c r="BM363" s="450"/>
      <c r="BN363" s="450"/>
      <c r="BO363" s="450"/>
      <c r="BP363" s="450"/>
      <c r="BQ363" s="450"/>
      <c r="BR363" s="450"/>
      <c r="BS363" s="100"/>
    </row>
    <row r="364" spans="1:71" s="44" customFormat="1" ht="15">
      <c r="A364" s="126" t="str">
        <f t="shared" si="780" ref="A364:A374">A313</f>
        <v>CFO</v>
      </c>
      <c r="B364" s="369"/>
      <c r="C364" s="978"/>
      <c r="D364" s="978"/>
      <c r="E364" s="978"/>
      <c r="F364" s="978"/>
      <c r="G364" s="978"/>
      <c r="H364" s="185"/>
      <c r="I364" s="185"/>
      <c r="J364" s="185"/>
      <c r="K364" s="185"/>
      <c r="L364" s="978"/>
      <c r="M364" s="185"/>
      <c r="N364" s="185"/>
      <c r="O364" s="185"/>
      <c r="P364" s="185"/>
      <c r="Q364" s="978"/>
      <c r="R364" s="185"/>
      <c r="S364" s="185"/>
      <c r="T364" s="185"/>
      <c r="U364" s="185"/>
      <c r="V364" s="978"/>
      <c r="W364" s="185"/>
      <c r="X364" s="185"/>
      <c r="Y364" s="185"/>
      <c r="Z364" s="185"/>
      <c r="AA364" s="978"/>
      <c r="AB364" s="185"/>
      <c r="AC364" s="185"/>
      <c r="AD364" s="185"/>
      <c r="AE364" s="185"/>
      <c r="AF364" s="978"/>
      <c r="AG364" s="185"/>
      <c r="AH364" s="185"/>
      <c r="AI364" s="185"/>
      <c r="AJ364" s="185"/>
      <c r="AK364" s="978"/>
      <c r="AL364" s="185"/>
      <c r="AM364" s="185"/>
      <c r="AN364" s="185"/>
      <c r="AO364" s="185"/>
      <c r="AP364" s="978"/>
      <c r="AQ364" s="185"/>
      <c r="AR364" s="185"/>
      <c r="AS364" s="185"/>
      <c r="AT364" s="185"/>
      <c r="AU364" s="978"/>
      <c r="AV364" s="185"/>
      <c r="AW364" s="185"/>
      <c r="AX364" s="185"/>
      <c r="AY364" s="185"/>
      <c r="AZ364" s="978"/>
      <c r="BA364" s="185"/>
      <c r="BB364" s="185"/>
      <c r="BC364" s="185"/>
      <c r="BD364" s="185"/>
      <c r="BE364" s="978"/>
      <c r="BF364" s="185"/>
      <c r="BG364" s="185"/>
      <c r="BH364" s="552"/>
      <c r="BI364" s="185"/>
      <c r="BJ364" s="978"/>
      <c r="BK364" s="185"/>
      <c r="BL364" s="185"/>
      <c r="BM364" s="185"/>
      <c r="BN364" s="185"/>
      <c r="BO364" s="978"/>
      <c r="BP364" s="978"/>
      <c r="BQ364" s="978"/>
      <c r="BR364" s="978"/>
      <c r="BS364" s="124"/>
    </row>
    <row r="365" spans="1:71" s="224" customFormat="1" ht="15">
      <c r="A365" s="362" t="str">
        <f t="shared" si="780"/>
        <v>Net earnings</v>
      </c>
      <c r="B365" s="363"/>
      <c r="C365" s="971">
        <f t="shared" si="781" ref="C365:H366">C314</f>
        <v>1497</v>
      </c>
      <c r="D365" s="971">
        <f t="shared" si="781"/>
        <v>2344</v>
      </c>
      <c r="E365" s="971">
        <f t="shared" si="781"/>
        <v>1937</v>
      </c>
      <c r="F365" s="971">
        <f t="shared" si="781"/>
        <v>2866</v>
      </c>
      <c r="G365" s="971">
        <f t="shared" si="781"/>
        <v>3158</v>
      </c>
      <c r="H365" s="176">
        <f t="shared" si="781"/>
        <v>732</v>
      </c>
      <c r="I365" s="176">
        <f t="shared" si="782" ref="I365:K366">I314-H314</f>
        <v>810</v>
      </c>
      <c r="J365" s="176">
        <f t="shared" si="782"/>
        <v>706</v>
      </c>
      <c r="K365" s="176">
        <f t="shared" si="782"/>
        <v>703</v>
      </c>
      <c r="L365" s="971">
        <f>L314</f>
        <v>2951</v>
      </c>
      <c r="M365" s="176">
        <f>M314</f>
        <v>663</v>
      </c>
      <c r="N365" s="176">
        <f t="shared" si="783" ref="N365:P366">N314-M314</f>
        <v>573</v>
      </c>
      <c r="O365" s="176">
        <f t="shared" si="783"/>
        <v>567</v>
      </c>
      <c r="P365" s="176">
        <f t="shared" si="783"/>
        <v>730</v>
      </c>
      <c r="Q365" s="971">
        <f>Q314</f>
        <v>2533</v>
      </c>
      <c r="R365" s="176">
        <f>R314</f>
        <v>731</v>
      </c>
      <c r="S365" s="176">
        <f t="shared" si="784" ref="S365:U366">S314-R314</f>
        <v>548</v>
      </c>
      <c r="T365" s="176">
        <f t="shared" si="784"/>
        <v>629</v>
      </c>
      <c r="U365" s="176">
        <f t="shared" si="784"/>
        <v>751</v>
      </c>
      <c r="V365" s="971">
        <f>V314</f>
        <v>2659</v>
      </c>
      <c r="W365" s="176">
        <f>W314</f>
        <v>592</v>
      </c>
      <c r="X365" s="176">
        <f t="shared" si="785" ref="X365:Z366">X314-W314</f>
        <v>713</v>
      </c>
      <c r="Y365" s="176">
        <f t="shared" si="785"/>
        <v>716</v>
      </c>
      <c r="Z365" s="176">
        <f t="shared" si="785"/>
        <v>2583</v>
      </c>
      <c r="AA365" s="971">
        <f>AA314</f>
        <v>4604</v>
      </c>
      <c r="AB365" s="176">
        <f>AB314</f>
        <v>717</v>
      </c>
      <c r="AC365" s="176">
        <f t="shared" si="786" ref="AC365:AE366">AC314-AB314</f>
        <v>833</v>
      </c>
      <c r="AD365" s="176">
        <f t="shared" si="786"/>
        <v>845</v>
      </c>
      <c r="AE365" s="176">
        <f t="shared" si="786"/>
        <v>525</v>
      </c>
      <c r="AF365" s="971">
        <f>AF314</f>
        <v>2920</v>
      </c>
      <c r="AG365" s="176">
        <f>AG314</f>
        <v>928</v>
      </c>
      <c r="AH365" s="176">
        <f t="shared" si="787" ref="AH365:AJ366">AH314-AG314</f>
        <v>817</v>
      </c>
      <c r="AI365" s="176">
        <f t="shared" si="787"/>
        <v>778</v>
      </c>
      <c r="AJ365" s="176">
        <f t="shared" si="787"/>
        <v>781</v>
      </c>
      <c r="AK365" s="971">
        <f>AK314</f>
        <v>3304</v>
      </c>
      <c r="AL365" s="176">
        <f>AL314</f>
        <v>566</v>
      </c>
      <c r="AM365" s="176">
        <f t="shared" si="788" ref="AM365:AO366">AM314-AL314</f>
        <v>804</v>
      </c>
      <c r="AN365" s="176">
        <f t="shared" si="788"/>
        <v>2456</v>
      </c>
      <c r="AO365" s="176">
        <f t="shared" si="788"/>
        <v>952</v>
      </c>
      <c r="AP365" s="971">
        <f>AP314</f>
        <v>4778</v>
      </c>
      <c r="AQ365" s="176">
        <f>AQ314</f>
        <v>1293</v>
      </c>
      <c r="AR365" s="176">
        <f t="shared" si="789" ref="AR365:AT366">AR314-AQ314</f>
        <v>1105</v>
      </c>
      <c r="AS365" s="176">
        <f t="shared" si="789"/>
        <v>888</v>
      </c>
      <c r="AT365" s="176">
        <f t="shared" si="789"/>
        <v>1039</v>
      </c>
      <c r="AU365" s="971">
        <f>AU314</f>
        <v>4325</v>
      </c>
      <c r="AV365" s="176">
        <f>AV314</f>
        <v>1047</v>
      </c>
      <c r="AW365" s="176">
        <f t="shared" si="790" ref="AW365:AX365">AW314-AV314</f>
        <v>1394</v>
      </c>
      <c r="AX365" s="176">
        <f t="shared" si="790"/>
        <v>1781</v>
      </c>
      <c r="AY365" s="176">
        <f>AY314-AX314</f>
        <v>196</v>
      </c>
      <c r="AZ365" s="971">
        <f>AZ314</f>
        <v>4418</v>
      </c>
      <c r="BA365" s="176">
        <f>BA314</f>
        <v>1188</v>
      </c>
      <c r="BB365" s="176">
        <f t="shared" si="791" ref="BB365:BD366">BB314-BA314</f>
        <v>1634</v>
      </c>
      <c r="BC365" s="176">
        <f t="shared" si="791"/>
        <v>1569</v>
      </c>
      <c r="BD365" s="176">
        <f t="shared" si="791"/>
        <v>268</v>
      </c>
      <c r="BE365" s="971">
        <f>BE314</f>
        <v>4659</v>
      </c>
      <c r="BF365" s="176">
        <f>BF314</f>
        <v>1879</v>
      </c>
      <c r="BG365" s="176">
        <f t="shared" si="792" ref="BG365:BG366">BG314-BF314</f>
        <v>1755</v>
      </c>
      <c r="BH365" s="551">
        <f>BH314-BG314</f>
        <v>-93</v>
      </c>
      <c r="BI365" s="176">
        <f>+BI217</f>
        <v>846.42396401704968</v>
      </c>
      <c r="BJ365" s="971">
        <f>SUM(BF365,BG365,BH365,BI365)</f>
        <v>4387.4239640170499</v>
      </c>
      <c r="BK365" s="176">
        <f>+BK217</f>
        <v>970.6656112817667</v>
      </c>
      <c r="BL365" s="176">
        <f>+BL217</f>
        <v>974.46545929424644</v>
      </c>
      <c r="BM365" s="176">
        <f>+BM217</f>
        <v>950.48046835653633</v>
      </c>
      <c r="BN365" s="176">
        <f>+BN217</f>
        <v>1044.5970899323759</v>
      </c>
      <c r="BO365" s="971">
        <f>SUM(BK365,BL365,BM365,BN365)</f>
        <v>3940.2086288649252</v>
      </c>
      <c r="BP365" s="971">
        <f>+BP217</f>
        <v>4181.5757074884486</v>
      </c>
      <c r="BQ365" s="971">
        <f>+BQ217</f>
        <v>4128.2527069076195</v>
      </c>
      <c r="BR365" s="971">
        <f>+BR217</f>
        <v>3117.6098213295713</v>
      </c>
      <c r="BS365" s="113"/>
    </row>
    <row r="366" spans="1:71" s="224" customFormat="1" ht="15">
      <c r="A366" s="364" t="str">
        <f t="shared" si="780"/>
        <v>Deferred Income tax</v>
      </c>
      <c r="B366" s="365"/>
      <c r="C366" s="973">
        <f t="shared" si="781"/>
        <v>0</v>
      </c>
      <c r="D366" s="973">
        <f t="shared" si="781"/>
        <v>0</v>
      </c>
      <c r="E366" s="973">
        <f t="shared" si="781"/>
        <v>0</v>
      </c>
      <c r="F366" s="973">
        <f t="shared" si="781"/>
        <v>0</v>
      </c>
      <c r="G366" s="973">
        <f t="shared" si="781"/>
        <v>0</v>
      </c>
      <c r="H366" s="177">
        <f t="shared" si="781"/>
        <v>0</v>
      </c>
      <c r="I366" s="177">
        <f t="shared" si="782"/>
        <v>0</v>
      </c>
      <c r="J366" s="177">
        <f t="shared" si="782"/>
        <v>0</v>
      </c>
      <c r="K366" s="177">
        <f t="shared" si="782"/>
        <v>0</v>
      </c>
      <c r="L366" s="973">
        <f>L315</f>
        <v>0</v>
      </c>
      <c r="M366" s="177">
        <f>M315</f>
        <v>0</v>
      </c>
      <c r="N366" s="177">
        <f t="shared" si="783"/>
        <v>0</v>
      </c>
      <c r="O366" s="177">
        <f t="shared" si="783"/>
        <v>0</v>
      </c>
      <c r="P366" s="177">
        <f t="shared" si="783"/>
        <v>0</v>
      </c>
      <c r="Q366" s="973">
        <f>Q315</f>
        <v>0</v>
      </c>
      <c r="R366" s="177">
        <f>R315</f>
        <v>0</v>
      </c>
      <c r="S366" s="177">
        <f t="shared" si="784"/>
        <v>0</v>
      </c>
      <c r="T366" s="177">
        <f t="shared" si="784"/>
        <v>0</v>
      </c>
      <c r="U366" s="177">
        <f t="shared" si="784"/>
        <v>0</v>
      </c>
      <c r="V366" s="973">
        <f>V315</f>
        <v>0</v>
      </c>
      <c r="W366" s="177">
        <f>W315</f>
        <v>0</v>
      </c>
      <c r="X366" s="177">
        <f t="shared" si="785"/>
        <v>0</v>
      </c>
      <c r="Y366" s="177">
        <f t="shared" si="785"/>
        <v>0</v>
      </c>
      <c r="Z366" s="177">
        <f t="shared" si="785"/>
        <v>0</v>
      </c>
      <c r="AA366" s="973">
        <f>AA315</f>
        <v>0</v>
      </c>
      <c r="AB366" s="177">
        <f>AB315</f>
        <v>0</v>
      </c>
      <c r="AC366" s="177">
        <f t="shared" si="786"/>
        <v>0</v>
      </c>
      <c r="AD366" s="177">
        <f t="shared" si="786"/>
        <v>0</v>
      </c>
      <c r="AE366" s="177">
        <f t="shared" si="786"/>
        <v>0</v>
      </c>
      <c r="AF366" s="973">
        <f>AF315</f>
        <v>0</v>
      </c>
      <c r="AG366" s="177">
        <f>AG315</f>
        <v>0</v>
      </c>
      <c r="AH366" s="177">
        <f t="shared" si="787"/>
        <v>0</v>
      </c>
      <c r="AI366" s="177">
        <f t="shared" si="787"/>
        <v>0</v>
      </c>
      <c r="AJ366" s="177">
        <f t="shared" si="787"/>
        <v>0</v>
      </c>
      <c r="AK366" s="973">
        <f>AK315</f>
        <v>0</v>
      </c>
      <c r="AL366" s="177">
        <f>AL315</f>
        <v>0</v>
      </c>
      <c r="AM366" s="177">
        <f t="shared" si="788"/>
        <v>0</v>
      </c>
      <c r="AN366" s="177">
        <f t="shared" si="788"/>
        <v>0</v>
      </c>
      <c r="AO366" s="177">
        <f t="shared" si="788"/>
        <v>0</v>
      </c>
      <c r="AP366" s="973">
        <f>AP315</f>
        <v>0</v>
      </c>
      <c r="AQ366" s="177">
        <f>AQ315</f>
        <v>0</v>
      </c>
      <c r="AR366" s="177">
        <f t="shared" si="789"/>
        <v>0</v>
      </c>
      <c r="AS366" s="177">
        <f t="shared" si="789"/>
        <v>0</v>
      </c>
      <c r="AT366" s="177">
        <f t="shared" si="789"/>
        <v>0</v>
      </c>
      <c r="AU366" s="973">
        <f>AU315</f>
        <v>0</v>
      </c>
      <c r="AV366" s="177">
        <f>AV315</f>
        <v>0</v>
      </c>
      <c r="AW366" s="177">
        <f t="shared" si="793" ref="AW366:AX366">AW315-AV315</f>
        <v>0</v>
      </c>
      <c r="AX366" s="177">
        <f t="shared" si="793"/>
        <v>0</v>
      </c>
      <c r="AY366" s="177">
        <f>AY315-AX315</f>
        <v>0</v>
      </c>
      <c r="AZ366" s="973">
        <f>AZ315</f>
        <v>0</v>
      </c>
      <c r="BA366" s="177">
        <f t="shared" si="794" ref="BA366">BA315</f>
        <v>0</v>
      </c>
      <c r="BB366" s="177">
        <f t="shared" si="791"/>
        <v>0</v>
      </c>
      <c r="BC366" s="177">
        <f t="shared" si="791"/>
        <v>0</v>
      </c>
      <c r="BD366" s="177">
        <f t="shared" si="791"/>
        <v>0</v>
      </c>
      <c r="BE366" s="973">
        <f>BE315</f>
        <v>0</v>
      </c>
      <c r="BF366" s="177">
        <f>BF315</f>
        <v>0</v>
      </c>
      <c r="BG366" s="177">
        <f t="shared" si="792"/>
        <v>0</v>
      </c>
      <c r="BH366" s="638">
        <f>BH315-BG315</f>
        <v>0</v>
      </c>
      <c r="BI366" s="177">
        <f>+BI216</f>
        <v>0</v>
      </c>
      <c r="BJ366" s="973">
        <f>SUM(BF366,BG366,BH366,BI366)</f>
        <v>0</v>
      </c>
      <c r="BK366" s="177">
        <f>+BK216</f>
        <v>0</v>
      </c>
      <c r="BL366" s="177">
        <f>+BL216</f>
        <v>0</v>
      </c>
      <c r="BM366" s="177">
        <f>+BM216</f>
        <v>0</v>
      </c>
      <c r="BN366" s="177">
        <f>+BN216</f>
        <v>0</v>
      </c>
      <c r="BO366" s="973">
        <f>SUM(BK366,BL366,BM366,BN366)</f>
        <v>0</v>
      </c>
      <c r="BP366" s="973">
        <f>+BP216</f>
        <v>-201.03729362925233</v>
      </c>
      <c r="BQ366" s="973">
        <f>+BQ216</f>
        <v>-308.65440799309306</v>
      </c>
      <c r="BR366" s="973">
        <f>+BR216</f>
        <v>0</v>
      </c>
      <c r="BS366" s="113"/>
    </row>
    <row r="367" spans="1:71" s="44" customFormat="1" ht="15">
      <c r="A367" s="366" t="str">
        <f t="shared" si="780"/>
        <v>CFO before WC</v>
      </c>
      <c r="B367" s="367"/>
      <c r="C367" s="982">
        <f t="shared" si="795" ref="C367:AM367">SUM(C365:C366)</f>
        <v>1497</v>
      </c>
      <c r="D367" s="982">
        <f t="shared" si="795"/>
        <v>2344</v>
      </c>
      <c r="E367" s="982">
        <f t="shared" si="795"/>
        <v>1937</v>
      </c>
      <c r="F367" s="982">
        <f t="shared" si="795"/>
        <v>2866</v>
      </c>
      <c r="G367" s="982">
        <f t="shared" si="795"/>
        <v>3158</v>
      </c>
      <c r="H367" s="25">
        <f t="shared" si="795"/>
        <v>732</v>
      </c>
      <c r="I367" s="25">
        <f t="shared" si="795"/>
        <v>810</v>
      </c>
      <c r="J367" s="25">
        <f t="shared" si="795"/>
        <v>706</v>
      </c>
      <c r="K367" s="25">
        <f t="shared" si="795"/>
        <v>703</v>
      </c>
      <c r="L367" s="982">
        <f t="shared" si="795"/>
        <v>2951</v>
      </c>
      <c r="M367" s="25">
        <f t="shared" si="795"/>
        <v>663</v>
      </c>
      <c r="N367" s="25">
        <f t="shared" si="795"/>
        <v>573</v>
      </c>
      <c r="O367" s="25">
        <f t="shared" si="795"/>
        <v>567</v>
      </c>
      <c r="P367" s="25">
        <f t="shared" si="795"/>
        <v>730</v>
      </c>
      <c r="Q367" s="982">
        <f t="shared" si="795"/>
        <v>2533</v>
      </c>
      <c r="R367" s="25">
        <f t="shared" si="795"/>
        <v>731</v>
      </c>
      <c r="S367" s="25">
        <f t="shared" si="795"/>
        <v>548</v>
      </c>
      <c r="T367" s="25">
        <f t="shared" si="795"/>
        <v>629</v>
      </c>
      <c r="U367" s="25">
        <f t="shared" si="795"/>
        <v>751</v>
      </c>
      <c r="V367" s="982">
        <f t="shared" si="795"/>
        <v>2659</v>
      </c>
      <c r="W367" s="25">
        <f t="shared" si="795"/>
        <v>592</v>
      </c>
      <c r="X367" s="25">
        <f t="shared" si="795"/>
        <v>713</v>
      </c>
      <c r="Y367" s="25">
        <f t="shared" si="795"/>
        <v>716</v>
      </c>
      <c r="Z367" s="25">
        <f t="shared" si="795"/>
        <v>2583</v>
      </c>
      <c r="AA367" s="982">
        <f t="shared" si="795"/>
        <v>4604</v>
      </c>
      <c r="AB367" s="25">
        <f t="shared" si="795"/>
        <v>717</v>
      </c>
      <c r="AC367" s="25">
        <f t="shared" si="795"/>
        <v>833</v>
      </c>
      <c r="AD367" s="25">
        <f t="shared" si="795"/>
        <v>845</v>
      </c>
      <c r="AE367" s="25">
        <f t="shared" si="795"/>
        <v>525</v>
      </c>
      <c r="AF367" s="982">
        <f t="shared" si="795"/>
        <v>2920</v>
      </c>
      <c r="AG367" s="25">
        <f t="shared" si="795"/>
        <v>928</v>
      </c>
      <c r="AH367" s="25">
        <f t="shared" si="795"/>
        <v>817</v>
      </c>
      <c r="AI367" s="25">
        <f t="shared" si="795"/>
        <v>778</v>
      </c>
      <c r="AJ367" s="25">
        <f t="shared" si="795"/>
        <v>781</v>
      </c>
      <c r="AK367" s="982">
        <f t="shared" si="795"/>
        <v>3304</v>
      </c>
      <c r="AL367" s="25">
        <f t="shared" si="795"/>
        <v>566</v>
      </c>
      <c r="AM367" s="25">
        <f t="shared" si="795"/>
        <v>804</v>
      </c>
      <c r="AN367" s="25">
        <f t="shared" si="796" ref="AN367">SUM(AN365:AN366)</f>
        <v>2456</v>
      </c>
      <c r="AO367" s="25">
        <f t="shared" si="797" ref="AO367:AP367">SUM(AO365:AO366)</f>
        <v>952</v>
      </c>
      <c r="AP367" s="982">
        <f t="shared" si="797"/>
        <v>4778</v>
      </c>
      <c r="AQ367" s="25">
        <f t="shared" si="798" ref="AQ367">SUM(AQ365:AQ366)</f>
        <v>1293</v>
      </c>
      <c r="AR367" s="25">
        <f t="shared" si="799" ref="AR367:AV367">SUM(AR365:AR366)</f>
        <v>1105</v>
      </c>
      <c r="AS367" s="25">
        <f t="shared" si="799"/>
        <v>888</v>
      </c>
      <c r="AT367" s="25">
        <f t="shared" si="799"/>
        <v>1039</v>
      </c>
      <c r="AU367" s="982">
        <f t="shared" si="799"/>
        <v>4325</v>
      </c>
      <c r="AV367" s="25">
        <f t="shared" si="799"/>
        <v>1047</v>
      </c>
      <c r="AW367" s="25">
        <f t="shared" si="800" ref="AW367">SUM(AW365:AW366)</f>
        <v>1394</v>
      </c>
      <c r="AX367" s="25">
        <f t="shared" si="801" ref="AX367:AZ367">SUM(AX365:AX366)</f>
        <v>1781</v>
      </c>
      <c r="AY367" s="25">
        <f t="shared" si="801"/>
        <v>196</v>
      </c>
      <c r="AZ367" s="982">
        <f t="shared" si="801"/>
        <v>4418</v>
      </c>
      <c r="BA367" s="25">
        <f t="shared" si="802" ref="BA367:BJ367">SUM(BA365:BA366)</f>
        <v>1188</v>
      </c>
      <c r="BB367" s="25">
        <f t="shared" si="802"/>
        <v>1634</v>
      </c>
      <c r="BC367" s="25">
        <f>SUM(BC365:BC366)</f>
        <v>1569</v>
      </c>
      <c r="BD367" s="25">
        <f t="shared" si="803" ref="BD367:BE367">SUM(BD365:BD366)</f>
        <v>268</v>
      </c>
      <c r="BE367" s="982">
        <f t="shared" si="803"/>
        <v>4659</v>
      </c>
      <c r="BF367" s="25">
        <f>SUM(BF365:BF366)</f>
        <v>1879</v>
      </c>
      <c r="BG367" s="25">
        <f t="shared" si="804" ref="BG367">SUM(BG365:BG366)</f>
        <v>1755</v>
      </c>
      <c r="BH367" s="749">
        <f>SUM(BH365:BH366)</f>
        <v>-93</v>
      </c>
      <c r="BI367" s="25">
        <f>SUM(BI365:BI366)</f>
        <v>846.42396401704968</v>
      </c>
      <c r="BJ367" s="982">
        <f t="shared" si="802"/>
        <v>4387.4239640170499</v>
      </c>
      <c r="BK367" s="25">
        <f t="shared" si="805" ref="BK367:BR367">SUM(BK365:BK366)</f>
        <v>970.6656112817667</v>
      </c>
      <c r="BL367" s="25">
        <f t="shared" si="805"/>
        <v>974.46545929424644</v>
      </c>
      <c r="BM367" s="25">
        <f t="shared" si="805"/>
        <v>950.48046835653633</v>
      </c>
      <c r="BN367" s="25">
        <f t="shared" si="805"/>
        <v>1044.5970899323759</v>
      </c>
      <c r="BO367" s="982">
        <f t="shared" si="805"/>
        <v>3940.2086288649252</v>
      </c>
      <c r="BP367" s="982">
        <f t="shared" si="805"/>
        <v>3980.5384138591962</v>
      </c>
      <c r="BQ367" s="982">
        <f t="shared" si="805"/>
        <v>3819.5982989145264</v>
      </c>
      <c r="BR367" s="982">
        <f t="shared" si="805"/>
        <v>3117.6098213295713</v>
      </c>
      <c r="BS367" s="124"/>
    </row>
    <row r="368" spans="1:71" s="224" customFormat="1" ht="15">
      <c r="A368" s="362" t="str">
        <f t="shared" si="780"/>
        <v>Change in receivables and advance premiums</v>
      </c>
      <c r="B368" s="363"/>
      <c r="C368" s="971">
        <f t="shared" si="806" ref="C368:H373">C317</f>
        <v>406</v>
      </c>
      <c r="D368" s="971">
        <f t="shared" si="806"/>
        <v>1078</v>
      </c>
      <c r="E368" s="971">
        <f t="shared" si="806"/>
        <v>25</v>
      </c>
      <c r="F368" s="971">
        <f t="shared" si="806"/>
        <v>-199</v>
      </c>
      <c r="G368" s="971">
        <f t="shared" si="806"/>
        <v>-8</v>
      </c>
      <c r="H368" s="176">
        <f t="shared" si="806"/>
        <v>171</v>
      </c>
      <c r="I368" s="176">
        <f t="shared" si="807" ref="I368:K373">I317-H317</f>
        <v>-147</v>
      </c>
      <c r="J368" s="176">
        <f t="shared" si="807"/>
        <v>-26</v>
      </c>
      <c r="K368" s="176">
        <f t="shared" si="807"/>
        <v>-5</v>
      </c>
      <c r="L368" s="971">
        <f t="shared" si="808" ref="L368:M373">L317</f>
        <v>-7</v>
      </c>
      <c r="M368" s="176">
        <f t="shared" si="808"/>
        <v>141</v>
      </c>
      <c r="N368" s="176">
        <f t="shared" si="809" ref="N368:P373">N317-M317</f>
        <v>-140</v>
      </c>
      <c r="O368" s="176">
        <f t="shared" si="809"/>
        <v>97</v>
      </c>
      <c r="P368" s="176">
        <f t="shared" si="809"/>
        <v>49</v>
      </c>
      <c r="Q368" s="971">
        <f t="shared" si="810" ref="Q368:R373">Q317</f>
        <v>147</v>
      </c>
      <c r="R368" s="176">
        <f t="shared" si="810"/>
        <v>32</v>
      </c>
      <c r="S368" s="176">
        <f t="shared" si="811" ref="S368:U373">S317-R317</f>
        <v>21</v>
      </c>
      <c r="T368" s="176">
        <f t="shared" si="811"/>
        <v>-12</v>
      </c>
      <c r="U368" s="176">
        <f t="shared" si="811"/>
        <v>1</v>
      </c>
      <c r="V368" s="971">
        <f t="shared" si="812" ref="V368:W373">V317</f>
        <v>42</v>
      </c>
      <c r="W368" s="176">
        <f t="shared" si="812"/>
        <v>106</v>
      </c>
      <c r="X368" s="176">
        <f t="shared" si="813" ref="X368:Z373">X317-W317</f>
        <v>-98</v>
      </c>
      <c r="Y368" s="176">
        <f t="shared" si="813"/>
        <v>-40</v>
      </c>
      <c r="Z368" s="176">
        <f t="shared" si="813"/>
        <v>-59</v>
      </c>
      <c r="AA368" s="971">
        <f t="shared" si="814" ref="AA368:AB373">AA317</f>
        <v>-91</v>
      </c>
      <c r="AB368" s="176">
        <f t="shared" si="814"/>
        <v>14</v>
      </c>
      <c r="AC368" s="176">
        <f t="shared" si="815" ref="AC368:AE373">AC317-AB317</f>
        <v>-15</v>
      </c>
      <c r="AD368" s="176">
        <f t="shared" si="815"/>
        <v>-26</v>
      </c>
      <c r="AE368" s="176">
        <f t="shared" si="815"/>
        <v>-28</v>
      </c>
      <c r="AF368" s="971">
        <f t="shared" si="816" ref="AF368:AG373">AF317</f>
        <v>-55</v>
      </c>
      <c r="AG368" s="176">
        <f t="shared" si="816"/>
        <v>35</v>
      </c>
      <c r="AH368" s="176">
        <f t="shared" si="817" ref="AH368:AJ373">AH317-AG317</f>
        <v>-52</v>
      </c>
      <c r="AI368" s="176">
        <f t="shared" si="817"/>
        <v>-19</v>
      </c>
      <c r="AJ368" s="176">
        <f t="shared" si="817"/>
        <v>4</v>
      </c>
      <c r="AK368" s="971">
        <f t="shared" si="818" ref="AK368:AL373">AK317</f>
        <v>-32</v>
      </c>
      <c r="AL368" s="176">
        <f t="shared" si="818"/>
        <v>15</v>
      </c>
      <c r="AM368" s="176">
        <f t="shared" si="819" ref="AM368:AO373">AM317-AL317</f>
        <v>-80</v>
      </c>
      <c r="AN368" s="176">
        <f t="shared" si="819"/>
        <v>77</v>
      </c>
      <c r="AO368" s="176">
        <f t="shared" si="819"/>
        <v>40</v>
      </c>
      <c r="AP368" s="971">
        <f t="shared" si="820" ref="AP368:AQ368">AP317</f>
        <v>52</v>
      </c>
      <c r="AQ368" s="176">
        <f t="shared" si="820"/>
        <v>-19</v>
      </c>
      <c r="AR368" s="176">
        <f t="shared" si="821" ref="AR368:AT373">AR317-AQ317</f>
        <v>15</v>
      </c>
      <c r="AS368" s="176">
        <f t="shared" si="821"/>
        <v>26</v>
      </c>
      <c r="AT368" s="176">
        <f t="shared" si="821"/>
        <v>50</v>
      </c>
      <c r="AU368" s="971">
        <f t="shared" si="822" ref="AU368:AV368">AU317</f>
        <v>72</v>
      </c>
      <c r="AV368" s="176">
        <f t="shared" si="822"/>
        <v>-29</v>
      </c>
      <c r="AW368" s="176">
        <f t="shared" si="823" ref="AW368">AW317-AV317</f>
        <v>2</v>
      </c>
      <c r="AX368" s="176">
        <f t="shared" si="824" ref="AX368:AY373">AX317-AW317</f>
        <v>37</v>
      </c>
      <c r="AY368" s="176">
        <f t="shared" si="824"/>
        <v>-5</v>
      </c>
      <c r="AZ368" s="971">
        <f t="shared" si="825" ref="AZ368:BA368">AZ317</f>
        <v>5</v>
      </c>
      <c r="BA368" s="176">
        <f t="shared" si="825"/>
        <v>-34</v>
      </c>
      <c r="BB368" s="176">
        <f t="shared" si="826" ref="BB368:BC373">BB317-BA317</f>
        <v>-1</v>
      </c>
      <c r="BC368" s="176">
        <f t="shared" si="826"/>
        <v>77</v>
      </c>
      <c r="BD368" s="176">
        <f t="shared" si="827" ref="BD368:BD373">BD317-BC317</f>
        <v>-175</v>
      </c>
      <c r="BE368" s="971">
        <f t="shared" si="828" ref="BE368:BF368">BE317</f>
        <v>-133</v>
      </c>
      <c r="BF368" s="176">
        <f t="shared" si="828"/>
        <v>32</v>
      </c>
      <c r="BG368" s="176">
        <f t="shared" si="829" ref="BG368:BG373">BG317-BF317</f>
        <v>-13</v>
      </c>
      <c r="BH368" s="551">
        <f t="shared" si="830" ref="BH368:BH373">BH317-BG317</f>
        <v>9</v>
      </c>
      <c r="BI368" s="176"/>
      <c r="BJ368" s="971">
        <f t="shared" si="831" ref="BJ368:BJ373">SUM(BF368,BG368,BH368,BI368)</f>
        <v>28</v>
      </c>
      <c r="BK368" s="176"/>
      <c r="BL368" s="176"/>
      <c r="BM368" s="176"/>
      <c r="BN368" s="176"/>
      <c r="BO368" s="971">
        <f t="shared" si="832" ref="BO368:BO373">SUM(BK368,BL368,BM368,BN368)</f>
        <v>0</v>
      </c>
      <c r="BP368" s="971"/>
      <c r="BQ368" s="971"/>
      <c r="BR368" s="971"/>
      <c r="BS368" s="113"/>
    </row>
    <row r="369" spans="1:71" s="224" customFormat="1" ht="15">
      <c r="A369" s="362" t="str">
        <f t="shared" si="780"/>
        <v>Increase in deferred policy acquisition costs</v>
      </c>
      <c r="B369" s="363"/>
      <c r="C369" s="971">
        <f t="shared" si="806"/>
        <v>-358</v>
      </c>
      <c r="D369" s="971">
        <f t="shared" si="806"/>
        <v>-416</v>
      </c>
      <c r="E369" s="971">
        <f t="shared" si="806"/>
        <v>-505</v>
      </c>
      <c r="F369" s="971">
        <f t="shared" si="806"/>
        <v>-643</v>
      </c>
      <c r="G369" s="971">
        <f t="shared" si="806"/>
        <v>-404</v>
      </c>
      <c r="H369" s="176">
        <f t="shared" si="806"/>
        <v>-26</v>
      </c>
      <c r="I369" s="176">
        <f t="shared" si="807"/>
        <v>-59</v>
      </c>
      <c r="J369" s="176">
        <f t="shared" si="807"/>
        <v>-50</v>
      </c>
      <c r="K369" s="176">
        <f t="shared" si="807"/>
        <v>-90</v>
      </c>
      <c r="L369" s="971">
        <f t="shared" si="808"/>
        <v>-225</v>
      </c>
      <c r="M369" s="176">
        <f t="shared" si="808"/>
        <v>-29</v>
      </c>
      <c r="N369" s="176">
        <f t="shared" si="809"/>
        <v>-58</v>
      </c>
      <c r="O369" s="176">
        <f t="shared" si="809"/>
        <v>-65</v>
      </c>
      <c r="P369" s="176">
        <f t="shared" si="809"/>
        <v>-89</v>
      </c>
      <c r="Q369" s="971">
        <f t="shared" si="810"/>
        <v>-241</v>
      </c>
      <c r="R369" s="176">
        <f t="shared" si="810"/>
        <v>-37</v>
      </c>
      <c r="S369" s="176">
        <f t="shared" si="811"/>
        <v>-66</v>
      </c>
      <c r="T369" s="176">
        <f t="shared" si="811"/>
        <v>-83</v>
      </c>
      <c r="U369" s="176">
        <f t="shared" si="811"/>
        <v>-120</v>
      </c>
      <c r="V369" s="971">
        <f t="shared" si="812"/>
        <v>-306</v>
      </c>
      <c r="W369" s="176">
        <f t="shared" si="812"/>
        <v>-41</v>
      </c>
      <c r="X369" s="176">
        <f t="shared" si="813"/>
        <v>-75</v>
      </c>
      <c r="Y369" s="176">
        <f t="shared" si="813"/>
        <v>-113</v>
      </c>
      <c r="Z369" s="176">
        <f t="shared" si="813"/>
        <v>-107</v>
      </c>
      <c r="AA369" s="971">
        <f t="shared" si="814"/>
        <v>-336</v>
      </c>
      <c r="AB369" s="176">
        <f t="shared" si="814"/>
        <v>-35</v>
      </c>
      <c r="AC369" s="176">
        <f t="shared" si="815"/>
        <v>-64</v>
      </c>
      <c r="AD369" s="176">
        <f t="shared" si="815"/>
        <v>-51</v>
      </c>
      <c r="AE369" s="176">
        <f t="shared" si="815"/>
        <v>-109</v>
      </c>
      <c r="AF369" s="971">
        <f t="shared" si="816"/>
        <v>-259</v>
      </c>
      <c r="AG369" s="176">
        <f t="shared" si="816"/>
        <v>-17</v>
      </c>
      <c r="AH369" s="176">
        <f t="shared" si="817"/>
        <v>-46</v>
      </c>
      <c r="AI369" s="176">
        <f t="shared" si="817"/>
        <v>-27</v>
      </c>
      <c r="AJ369" s="176">
        <f t="shared" si="817"/>
        <v>-80</v>
      </c>
      <c r="AK369" s="971">
        <f t="shared" si="818"/>
        <v>-170</v>
      </c>
      <c r="AL369" s="176">
        <f t="shared" si="818"/>
        <v>8</v>
      </c>
      <c r="AM369" s="176">
        <f t="shared" si="819"/>
        <v>10</v>
      </c>
      <c r="AN369" s="176">
        <f t="shared" si="819"/>
        <v>26</v>
      </c>
      <c r="AO369" s="176">
        <f t="shared" si="819"/>
        <v>28</v>
      </c>
      <c r="AP369" s="971">
        <f t="shared" si="833" ref="AP369:AQ369">AP318</f>
        <v>72</v>
      </c>
      <c r="AQ369" s="176">
        <f t="shared" si="833"/>
        <v>49</v>
      </c>
      <c r="AR369" s="176">
        <f t="shared" si="821"/>
        <v>28</v>
      </c>
      <c r="AS369" s="176">
        <f t="shared" si="821"/>
        <v>14</v>
      </c>
      <c r="AT369" s="176">
        <f t="shared" si="821"/>
        <v>16</v>
      </c>
      <c r="AU369" s="971">
        <f t="shared" si="834" ref="AU369:AV369">AU318</f>
        <v>107</v>
      </c>
      <c r="AV369" s="176">
        <f t="shared" si="834"/>
        <v>-48</v>
      </c>
      <c r="AW369" s="176">
        <f t="shared" si="835" ref="AW369">AW318-AV318</f>
        <v>-56</v>
      </c>
      <c r="AX369" s="176">
        <f t="shared" si="824"/>
        <v>-68</v>
      </c>
      <c r="AY369" s="176">
        <f t="shared" si="824"/>
        <v>-90</v>
      </c>
      <c r="AZ369" s="971">
        <f t="shared" si="836" ref="AZ369:BA369">AZ318</f>
        <v>-262</v>
      </c>
      <c r="BA369" s="176">
        <f t="shared" si="836"/>
        <v>-65</v>
      </c>
      <c r="BB369" s="176">
        <f t="shared" si="826"/>
        <v>-53</v>
      </c>
      <c r="BC369" s="176">
        <f t="shared" si="826"/>
        <v>-78</v>
      </c>
      <c r="BD369" s="176">
        <f t="shared" si="827"/>
        <v>-74</v>
      </c>
      <c r="BE369" s="971">
        <f t="shared" si="837" ref="BE369:BF369">BE318</f>
        <v>-270</v>
      </c>
      <c r="BF369" s="176">
        <f t="shared" si="837"/>
        <v>-39</v>
      </c>
      <c r="BG369" s="176">
        <f t="shared" si="829"/>
        <v>-45</v>
      </c>
      <c r="BH369" s="551">
        <f t="shared" si="830"/>
        <v>-45</v>
      </c>
      <c r="BI369" s="176">
        <f>-BI56</f>
        <v>116.619657</v>
      </c>
      <c r="BJ369" s="971">
        <f t="shared" si="831"/>
        <v>-12.380342999999996</v>
      </c>
      <c r="BK369" s="176">
        <f>-BK56</f>
        <v>68.283969999999997</v>
      </c>
      <c r="BL369" s="176">
        <f>-BL56</f>
        <v>50.431342000000001</v>
      </c>
      <c r="BM369" s="176">
        <f>-BM56</f>
        <v>96.936683000000002</v>
      </c>
      <c r="BN369" s="176">
        <f>-BN56</f>
        <v>98.842280000000002</v>
      </c>
      <c r="BO369" s="971">
        <f t="shared" si="832"/>
        <v>314.49427500000002</v>
      </c>
      <c r="BP369" s="971">
        <f>-BP56</f>
        <v>387.76899900000001</v>
      </c>
      <c r="BQ369" s="971">
        <f>-BQ56</f>
        <v>393.30687899999998</v>
      </c>
      <c r="BR369" s="971">
        <f>-BR56</f>
        <v>399.02894300000003</v>
      </c>
      <c r="BS369" s="113"/>
    </row>
    <row r="370" spans="1:71" s="224" customFormat="1" ht="15">
      <c r="A370" s="362" t="str">
        <f t="shared" si="780"/>
        <v>Increase in policy liabilities</v>
      </c>
      <c r="B370" s="363"/>
      <c r="C370" s="971">
        <f t="shared" si="806"/>
        <v>3019</v>
      </c>
      <c r="D370" s="971">
        <f t="shared" si="806"/>
        <v>3448</v>
      </c>
      <c r="E370" s="971">
        <f t="shared" si="806"/>
        <v>7402</v>
      </c>
      <c r="F370" s="971">
        <f t="shared" si="806"/>
        <v>12005</v>
      </c>
      <c r="G370" s="971">
        <f t="shared" si="806"/>
        <v>6806</v>
      </c>
      <c r="H370" s="176">
        <f t="shared" si="806"/>
        <v>978</v>
      </c>
      <c r="I370" s="176">
        <f t="shared" si="807"/>
        <v>654</v>
      </c>
      <c r="J370" s="176">
        <f t="shared" si="807"/>
        <v>1042</v>
      </c>
      <c r="K370" s="176">
        <f t="shared" si="807"/>
        <v>940</v>
      </c>
      <c r="L370" s="971">
        <f t="shared" si="808"/>
        <v>3614</v>
      </c>
      <c r="M370" s="176">
        <f t="shared" si="808"/>
        <v>835</v>
      </c>
      <c r="N370" s="176">
        <f t="shared" si="809"/>
        <v>879</v>
      </c>
      <c r="O370" s="176">
        <f t="shared" si="809"/>
        <v>982</v>
      </c>
      <c r="P370" s="176">
        <f t="shared" si="809"/>
        <v>828</v>
      </c>
      <c r="Q370" s="971">
        <f t="shared" si="810"/>
        <v>3524</v>
      </c>
      <c r="R370" s="176">
        <f t="shared" si="810"/>
        <v>919</v>
      </c>
      <c r="S370" s="176">
        <f t="shared" si="811"/>
        <v>735</v>
      </c>
      <c r="T370" s="176">
        <f t="shared" si="811"/>
        <v>675</v>
      </c>
      <c r="U370" s="176">
        <f t="shared" si="811"/>
        <v>1002</v>
      </c>
      <c r="V370" s="971">
        <f t="shared" si="812"/>
        <v>3331</v>
      </c>
      <c r="W370" s="176">
        <f t="shared" si="812"/>
        <v>666</v>
      </c>
      <c r="X370" s="176">
        <f t="shared" si="813"/>
        <v>660</v>
      </c>
      <c r="Y370" s="176">
        <f t="shared" si="813"/>
        <v>811</v>
      </c>
      <c r="Z370" s="176">
        <f t="shared" si="813"/>
        <v>753</v>
      </c>
      <c r="AA370" s="971">
        <f t="shared" si="814"/>
        <v>2890</v>
      </c>
      <c r="AB370" s="176">
        <f t="shared" si="814"/>
        <v>572</v>
      </c>
      <c r="AC370" s="176">
        <f t="shared" si="815"/>
        <v>774</v>
      </c>
      <c r="AD370" s="176">
        <f t="shared" si="815"/>
        <v>475</v>
      </c>
      <c r="AE370" s="176">
        <f t="shared" si="815"/>
        <v>522</v>
      </c>
      <c r="AF370" s="971">
        <f t="shared" si="816"/>
        <v>2343</v>
      </c>
      <c r="AG370" s="176">
        <f t="shared" si="816"/>
        <v>468</v>
      </c>
      <c r="AH370" s="176">
        <f t="shared" si="817"/>
        <v>551</v>
      </c>
      <c r="AI370" s="176">
        <f t="shared" si="817"/>
        <v>640</v>
      </c>
      <c r="AJ370" s="176">
        <f t="shared" si="817"/>
        <v>445</v>
      </c>
      <c r="AK370" s="971">
        <f t="shared" si="818"/>
        <v>2104</v>
      </c>
      <c r="AL370" s="176">
        <f t="shared" si="818"/>
        <v>368</v>
      </c>
      <c r="AM370" s="176">
        <f t="shared" si="819"/>
        <v>568</v>
      </c>
      <c r="AN370" s="176">
        <f t="shared" si="819"/>
        <v>665</v>
      </c>
      <c r="AO370" s="176">
        <f t="shared" si="819"/>
        <v>422</v>
      </c>
      <c r="AP370" s="971">
        <f t="shared" si="838" ref="AP370:AQ370">AP319</f>
        <v>2023</v>
      </c>
      <c r="AQ370" s="176">
        <f t="shared" si="838"/>
        <v>204</v>
      </c>
      <c r="AR370" s="176">
        <f t="shared" si="821"/>
        <v>274</v>
      </c>
      <c r="AS370" s="176">
        <f t="shared" si="821"/>
        <v>292</v>
      </c>
      <c r="AT370" s="176">
        <f t="shared" si="821"/>
        <v>206</v>
      </c>
      <c r="AU370" s="971">
        <f t="shared" si="839" ref="AU370:AV370">AU319</f>
        <v>976</v>
      </c>
      <c r="AV370" s="176">
        <f t="shared" si="839"/>
        <v>143</v>
      </c>
      <c r="AW370" s="176">
        <f>AW319-AV319</f>
        <v>366</v>
      </c>
      <c r="AX370" s="176">
        <f t="shared" si="824"/>
        <v>208</v>
      </c>
      <c r="AY370" s="176">
        <f t="shared" si="824"/>
        <v>9</v>
      </c>
      <c r="AZ370" s="971">
        <f t="shared" si="840" ref="AZ370:BA370">AZ319</f>
        <v>726</v>
      </c>
      <c r="BA370" s="176">
        <f t="shared" si="840"/>
        <v>-361</v>
      </c>
      <c r="BB370" s="176">
        <f t="shared" si="826"/>
        <v>324</v>
      </c>
      <c r="BC370" s="176">
        <f t="shared" si="826"/>
        <v>-62</v>
      </c>
      <c r="BD370" s="176">
        <f t="shared" si="827"/>
        <v>-453</v>
      </c>
      <c r="BE370" s="971">
        <f t="shared" si="841" ref="BE370:BF370">BE319</f>
        <v>-552</v>
      </c>
      <c r="BF370" s="176">
        <f t="shared" si="841"/>
        <v>-41</v>
      </c>
      <c r="BG370" s="176">
        <f t="shared" si="829"/>
        <v>-2</v>
      </c>
      <c r="BH370" s="551">
        <f t="shared" si="830"/>
        <v>-216</v>
      </c>
      <c r="BI370" s="176">
        <f>+BI43-BH43</f>
        <v>709.85580299999856</v>
      </c>
      <c r="BJ370" s="971">
        <f t="shared" si="831"/>
        <v>450.85580299999856</v>
      </c>
      <c r="BK370" s="176">
        <f>+BK43-BJ43</f>
        <v>276.07170299999416</v>
      </c>
      <c r="BL370" s="176">
        <f>+BL43-BK43</f>
        <v>276.21201299999666</v>
      </c>
      <c r="BM370" s="176">
        <f>+BM43-BL43</f>
        <v>313.31781300000148</v>
      </c>
      <c r="BN370" s="176">
        <f>+BN43-BM43</f>
        <v>355.10851599999296</v>
      </c>
      <c r="BO370" s="971">
        <f t="shared" si="832"/>
        <v>1220.7100449999853</v>
      </c>
      <c r="BP370" s="971">
        <f>+BP43-BO43</f>
        <v>1226.1427989999938</v>
      </c>
      <c r="BQ370" s="971">
        <f>+BQ43-BP43</f>
        <v>1455.2835210000048</v>
      </c>
      <c r="BR370" s="971">
        <f>+BR43-BQ43</f>
        <v>1484.6283910000056</v>
      </c>
      <c r="BS370" s="113"/>
    </row>
    <row r="371" spans="1:71" s="224" customFormat="1" ht="15">
      <c r="A371" s="362" t="str">
        <f t="shared" si="780"/>
        <v>Change in income tax liabilities</v>
      </c>
      <c r="B371" s="363"/>
      <c r="C371" s="971">
        <f t="shared" si="806"/>
        <v>139</v>
      </c>
      <c r="D371" s="971">
        <f t="shared" si="806"/>
        <v>128</v>
      </c>
      <c r="E371" s="971">
        <f t="shared" si="806"/>
        <v>266</v>
      </c>
      <c r="F371" s="971">
        <f t="shared" si="806"/>
        <v>712</v>
      </c>
      <c r="G371" s="971">
        <f t="shared" si="806"/>
        <v>993</v>
      </c>
      <c r="H371" s="176">
        <f t="shared" si="806"/>
        <v>-320</v>
      </c>
      <c r="I371" s="176">
        <f t="shared" si="807"/>
        <v>237</v>
      </c>
      <c r="J371" s="176">
        <f t="shared" si="807"/>
        <v>-187</v>
      </c>
      <c r="K371" s="176">
        <f t="shared" si="807"/>
        <v>393</v>
      </c>
      <c r="L371" s="971">
        <f t="shared" si="808"/>
        <v>123</v>
      </c>
      <c r="M371" s="176">
        <f t="shared" si="808"/>
        <v>-156</v>
      </c>
      <c r="N371" s="176">
        <f t="shared" si="809"/>
        <v>286</v>
      </c>
      <c r="O371" s="176">
        <f t="shared" si="809"/>
        <v>-173</v>
      </c>
      <c r="P371" s="176">
        <f t="shared" si="809"/>
        <v>7</v>
      </c>
      <c r="Q371" s="971">
        <f t="shared" si="810"/>
        <v>-36</v>
      </c>
      <c r="R371" s="176">
        <f t="shared" si="810"/>
        <v>-367</v>
      </c>
      <c r="S371" s="176">
        <f t="shared" si="811"/>
        <v>231</v>
      </c>
      <c r="T371" s="176">
        <f t="shared" si="811"/>
        <v>-229</v>
      </c>
      <c r="U371" s="176">
        <f t="shared" si="811"/>
        <v>272</v>
      </c>
      <c r="V371" s="971">
        <f t="shared" si="812"/>
        <v>-93</v>
      </c>
      <c r="W371" s="176">
        <f t="shared" si="812"/>
        <v>271</v>
      </c>
      <c r="X371" s="176">
        <f t="shared" si="813"/>
        <v>97</v>
      </c>
      <c r="Y371" s="176">
        <f t="shared" si="813"/>
        <v>-45</v>
      </c>
      <c r="Z371" s="176">
        <f t="shared" si="813"/>
        <v>-1563</v>
      </c>
      <c r="AA371" s="971">
        <f t="shared" si="814"/>
        <v>-1240</v>
      </c>
      <c r="AB371" s="176">
        <f t="shared" si="814"/>
        <v>-131</v>
      </c>
      <c r="AC371" s="176">
        <f t="shared" si="815"/>
        <v>-49</v>
      </c>
      <c r="AD371" s="176">
        <f t="shared" si="815"/>
        <v>218</v>
      </c>
      <c r="AE371" s="176">
        <f t="shared" si="815"/>
        <v>26</v>
      </c>
      <c r="AF371" s="971">
        <f t="shared" si="816"/>
        <v>64</v>
      </c>
      <c r="AG371" s="176">
        <f t="shared" si="816"/>
        <v>316</v>
      </c>
      <c r="AH371" s="176">
        <f t="shared" si="817"/>
        <v>-584</v>
      </c>
      <c r="AI371" s="176">
        <f t="shared" si="817"/>
        <v>183</v>
      </c>
      <c r="AJ371" s="176">
        <f t="shared" si="817"/>
        <v>-159</v>
      </c>
      <c r="AK371" s="971">
        <f t="shared" si="818"/>
        <v>-244</v>
      </c>
      <c r="AL371" s="176">
        <f t="shared" si="818"/>
        <v>153</v>
      </c>
      <c r="AM371" s="176">
        <f t="shared" si="819"/>
        <v>-270</v>
      </c>
      <c r="AN371" s="176">
        <f t="shared" si="819"/>
        <v>-1392</v>
      </c>
      <c r="AO371" s="176">
        <f t="shared" si="819"/>
        <v>90</v>
      </c>
      <c r="AP371" s="971">
        <f t="shared" si="842" ref="AP371:AQ371">AP320</f>
        <v>-1419</v>
      </c>
      <c r="AQ371" s="176">
        <f t="shared" si="842"/>
        <v>331</v>
      </c>
      <c r="AR371" s="176">
        <f t="shared" si="821"/>
        <v>-233</v>
      </c>
      <c r="AS371" s="176">
        <f t="shared" si="821"/>
        <v>227</v>
      </c>
      <c r="AT371" s="176">
        <f t="shared" si="821"/>
        <v>-207</v>
      </c>
      <c r="AU371" s="971">
        <f t="shared" si="843" ref="AU371:AV371">AU320</f>
        <v>118</v>
      </c>
      <c r="AV371" s="176">
        <f t="shared" si="843"/>
        <v>325</v>
      </c>
      <c r="AW371" s="176">
        <f>AW320-AV320</f>
        <v>-268</v>
      </c>
      <c r="AX371" s="176">
        <f t="shared" si="824"/>
        <v>-548</v>
      </c>
      <c r="AY371" s="176">
        <f t="shared" si="824"/>
        <v>-18</v>
      </c>
      <c r="AZ371" s="971">
        <f t="shared" si="844" ref="AZ371:BA371">AZ320</f>
        <v>-509</v>
      </c>
      <c r="BA371" s="176">
        <f t="shared" si="844"/>
        <v>154</v>
      </c>
      <c r="BB371" s="176">
        <f t="shared" si="826"/>
        <v>-574</v>
      </c>
      <c r="BC371" s="176">
        <f t="shared" si="826"/>
        <v>131</v>
      </c>
      <c r="BD371" s="176">
        <f t="shared" si="827"/>
        <v>-678</v>
      </c>
      <c r="BE371" s="971">
        <f t="shared" si="845" ref="BE371:BF371">BE320</f>
        <v>-967</v>
      </c>
      <c r="BF371" s="176">
        <f t="shared" si="845"/>
        <v>291</v>
      </c>
      <c r="BG371" s="176">
        <f t="shared" si="829"/>
        <v>-512</v>
      </c>
      <c r="BH371" s="551">
        <f t="shared" si="830"/>
        <v>157</v>
      </c>
      <c r="BI371" s="176"/>
      <c r="BJ371" s="971">
        <f t="shared" si="831"/>
        <v>-64</v>
      </c>
      <c r="BK371" s="176"/>
      <c r="BL371" s="176"/>
      <c r="BM371" s="176"/>
      <c r="BN371" s="176"/>
      <c r="BO371" s="971">
        <f t="shared" si="832"/>
        <v>0</v>
      </c>
      <c r="BP371" s="971"/>
      <c r="BQ371" s="971"/>
      <c r="BR371" s="971"/>
      <c r="BS371" s="113"/>
    </row>
    <row r="372" spans="1:71" s="224" customFormat="1" ht="15">
      <c r="A372" s="362" t="str">
        <f t="shared" si="780"/>
        <v>Realized investment (gains) losses</v>
      </c>
      <c r="B372" s="363"/>
      <c r="C372" s="971">
        <f t="shared" si="806"/>
        <v>1212</v>
      </c>
      <c r="D372" s="971">
        <f t="shared" si="806"/>
        <v>422</v>
      </c>
      <c r="E372" s="971">
        <f t="shared" si="806"/>
        <v>1552</v>
      </c>
      <c r="F372" s="971">
        <f t="shared" si="806"/>
        <v>349</v>
      </c>
      <c r="G372" s="971">
        <f t="shared" si="806"/>
        <v>-399</v>
      </c>
      <c r="H372" s="176">
        <f t="shared" si="806"/>
        <v>46</v>
      </c>
      <c r="I372" s="176">
        <f t="shared" si="807"/>
        <v>-102</v>
      </c>
      <c r="J372" s="176">
        <f t="shared" si="807"/>
        <v>-16</v>
      </c>
      <c r="K372" s="176">
        <f t="shared" si="807"/>
        <v>-143</v>
      </c>
      <c r="L372" s="971">
        <f t="shared" si="808"/>
        <v>-215</v>
      </c>
      <c r="M372" s="176">
        <f t="shared" si="808"/>
        <v>-13</v>
      </c>
      <c r="N372" s="176">
        <f t="shared" si="809"/>
        <v>-127</v>
      </c>
      <c r="O372" s="176">
        <f t="shared" si="809"/>
        <v>114</v>
      </c>
      <c r="P372" s="176">
        <f t="shared" si="809"/>
        <v>-114</v>
      </c>
      <c r="Q372" s="971">
        <f t="shared" si="810"/>
        <v>-140</v>
      </c>
      <c r="R372" s="176">
        <f t="shared" si="810"/>
        <v>-30</v>
      </c>
      <c r="S372" s="176">
        <f t="shared" si="811"/>
        <v>144</v>
      </c>
      <c r="T372" s="176">
        <f t="shared" si="811"/>
        <v>146</v>
      </c>
      <c r="U372" s="176">
        <f t="shared" si="811"/>
        <v>-137</v>
      </c>
      <c r="V372" s="971">
        <f t="shared" si="812"/>
        <v>123</v>
      </c>
      <c r="W372" s="176">
        <f t="shared" si="812"/>
        <v>140</v>
      </c>
      <c r="X372" s="176">
        <f t="shared" si="813"/>
        <v>56</v>
      </c>
      <c r="Y372" s="176">
        <f t="shared" si="813"/>
        <v>-30</v>
      </c>
      <c r="Z372" s="176">
        <f t="shared" si="813"/>
        <v>-15</v>
      </c>
      <c r="AA372" s="971">
        <f t="shared" si="814"/>
        <v>151</v>
      </c>
      <c r="AB372" s="176">
        <f t="shared" si="814"/>
        <v>134</v>
      </c>
      <c r="AC372" s="176">
        <f t="shared" si="815"/>
        <v>-3</v>
      </c>
      <c r="AD372" s="176">
        <f t="shared" si="815"/>
        <v>-55</v>
      </c>
      <c r="AE372" s="176">
        <f t="shared" si="815"/>
        <v>354</v>
      </c>
      <c r="AF372" s="971">
        <f t="shared" si="816"/>
        <v>430</v>
      </c>
      <c r="AG372" s="176">
        <f t="shared" si="816"/>
        <v>-71</v>
      </c>
      <c r="AH372" s="176">
        <f t="shared" si="817"/>
        <v>66</v>
      </c>
      <c r="AI372" s="176">
        <f t="shared" si="817"/>
        <v>152</v>
      </c>
      <c r="AJ372" s="176">
        <f t="shared" si="817"/>
        <v>-12</v>
      </c>
      <c r="AK372" s="971">
        <f t="shared" si="818"/>
        <v>135</v>
      </c>
      <c r="AL372" s="176">
        <f t="shared" si="818"/>
        <v>463</v>
      </c>
      <c r="AM372" s="176">
        <f t="shared" si="819"/>
        <v>170</v>
      </c>
      <c r="AN372" s="176">
        <f t="shared" si="819"/>
        <v>-108</v>
      </c>
      <c r="AO372" s="176">
        <f t="shared" si="819"/>
        <v>-255</v>
      </c>
      <c r="AP372" s="971">
        <f t="shared" si="846" ref="AP372:AQ372">AP321</f>
        <v>270</v>
      </c>
      <c r="AQ372" s="176">
        <f t="shared" si="846"/>
        <v>-307</v>
      </c>
      <c r="AR372" s="176">
        <f t="shared" si="821"/>
        <v>-89</v>
      </c>
      <c r="AS372" s="176">
        <f t="shared" si="821"/>
        <v>172</v>
      </c>
      <c r="AT372" s="176">
        <f t="shared" si="821"/>
        <v>-244</v>
      </c>
      <c r="AU372" s="971">
        <f t="shared" si="847" ref="AU372:AV372">AU321</f>
        <v>-468</v>
      </c>
      <c r="AV372" s="176">
        <f t="shared" si="847"/>
        <v>-122</v>
      </c>
      <c r="AW372" s="176">
        <f>AW321-AV321</f>
        <v>-564</v>
      </c>
      <c r="AX372" s="176">
        <f t="shared" si="824"/>
        <v>-199</v>
      </c>
      <c r="AY372" s="176">
        <f t="shared" si="824"/>
        <v>522</v>
      </c>
      <c r="AZ372" s="971">
        <f t="shared" si="848" ref="AZ372:BA372">AZ321</f>
        <v>-363</v>
      </c>
      <c r="BA372" s="176">
        <f t="shared" si="848"/>
        <v>-123</v>
      </c>
      <c r="BB372" s="176">
        <f t="shared" si="826"/>
        <v>-555</v>
      </c>
      <c r="BC372" s="176">
        <f t="shared" si="826"/>
        <v>-423</v>
      </c>
      <c r="BD372" s="176">
        <f t="shared" si="827"/>
        <v>511</v>
      </c>
      <c r="BE372" s="971">
        <f t="shared" si="849" ref="BE372:BF372">BE321</f>
        <v>-590</v>
      </c>
      <c r="BF372" s="176">
        <f t="shared" si="849"/>
        <v>-951</v>
      </c>
      <c r="BG372" s="176">
        <f t="shared" si="829"/>
        <v>-696</v>
      </c>
      <c r="BH372" s="551">
        <f t="shared" si="830"/>
        <v>1408</v>
      </c>
      <c r="BI372" s="176"/>
      <c r="BJ372" s="971">
        <f t="shared" si="831"/>
        <v>-239</v>
      </c>
      <c r="BK372" s="176"/>
      <c r="BL372" s="176"/>
      <c r="BM372" s="176"/>
      <c r="BN372" s="176"/>
      <c r="BO372" s="971">
        <f t="shared" si="832"/>
        <v>0</v>
      </c>
      <c r="BP372" s="971"/>
      <c r="BQ372" s="971"/>
      <c r="BR372" s="971"/>
      <c r="BS372" s="113"/>
    </row>
    <row r="373" spans="1:71" s="224" customFormat="1" ht="15">
      <c r="A373" s="364" t="str">
        <f t="shared" si="780"/>
        <v>Other, net</v>
      </c>
      <c r="B373" s="365"/>
      <c r="C373" s="973">
        <f t="shared" si="806"/>
        <v>246</v>
      </c>
      <c r="D373" s="973">
        <f t="shared" si="806"/>
        <v>-15</v>
      </c>
      <c r="E373" s="973">
        <f t="shared" si="806"/>
        <v>165</v>
      </c>
      <c r="F373" s="973">
        <f t="shared" si="806"/>
        <v>-138</v>
      </c>
      <c r="G373" s="973">
        <f t="shared" si="806"/>
        <v>401</v>
      </c>
      <c r="H373" s="177">
        <f t="shared" si="806"/>
        <v>34</v>
      </c>
      <c r="I373" s="177">
        <f t="shared" si="807"/>
        <v>124</v>
      </c>
      <c r="J373" s="177">
        <f t="shared" si="807"/>
        <v>-24</v>
      </c>
      <c r="K373" s="177">
        <f t="shared" si="807"/>
        <v>175</v>
      </c>
      <c r="L373" s="973">
        <f t="shared" si="808"/>
        <v>309</v>
      </c>
      <c r="M373" s="177">
        <f t="shared" si="808"/>
        <v>19</v>
      </c>
      <c r="N373" s="177">
        <f t="shared" si="809"/>
        <v>230</v>
      </c>
      <c r="O373" s="177">
        <f t="shared" si="809"/>
        <v>145</v>
      </c>
      <c r="P373" s="177">
        <f t="shared" si="809"/>
        <v>595</v>
      </c>
      <c r="Q373" s="973">
        <f t="shared" si="810"/>
        <v>989</v>
      </c>
      <c r="R373" s="177">
        <f t="shared" si="810"/>
        <v>83</v>
      </c>
      <c r="S373" s="177">
        <f t="shared" si="811"/>
        <v>-90</v>
      </c>
      <c r="T373" s="177">
        <f t="shared" si="811"/>
        <v>140</v>
      </c>
      <c r="U373" s="177">
        <f t="shared" si="811"/>
        <v>98</v>
      </c>
      <c r="V373" s="973">
        <f t="shared" si="812"/>
        <v>231</v>
      </c>
      <c r="W373" s="177">
        <f t="shared" si="812"/>
        <v>23</v>
      </c>
      <c r="X373" s="177">
        <f t="shared" si="813"/>
        <v>55</v>
      </c>
      <c r="Y373" s="177">
        <f t="shared" si="813"/>
        <v>132</v>
      </c>
      <c r="Z373" s="177">
        <f t="shared" si="813"/>
        <v>-60</v>
      </c>
      <c r="AA373" s="973">
        <f t="shared" si="814"/>
        <v>150</v>
      </c>
      <c r="AB373" s="177">
        <f t="shared" si="814"/>
        <v>-33</v>
      </c>
      <c r="AC373" s="177">
        <f t="shared" si="815"/>
        <v>93</v>
      </c>
      <c r="AD373" s="177">
        <f t="shared" si="815"/>
        <v>446</v>
      </c>
      <c r="AE373" s="177">
        <f t="shared" si="815"/>
        <v>65</v>
      </c>
      <c r="AF373" s="973">
        <f t="shared" si="816"/>
        <v>571</v>
      </c>
      <c r="AG373" s="177">
        <f t="shared" si="816"/>
        <v>-115</v>
      </c>
      <c r="AH373" s="177">
        <f t="shared" si="817"/>
        <v>61</v>
      </c>
      <c r="AI373" s="177">
        <f t="shared" si="817"/>
        <v>199</v>
      </c>
      <c r="AJ373" s="177">
        <f t="shared" si="817"/>
        <v>213</v>
      </c>
      <c r="AK373" s="973">
        <f t="shared" si="818"/>
        <v>358</v>
      </c>
      <c r="AL373" s="177">
        <f t="shared" si="818"/>
        <v>-159</v>
      </c>
      <c r="AM373" s="177">
        <f t="shared" si="819"/>
        <v>-15</v>
      </c>
      <c r="AN373" s="177">
        <f t="shared" si="819"/>
        <v>276</v>
      </c>
      <c r="AO373" s="177">
        <f t="shared" si="819"/>
        <v>80</v>
      </c>
      <c r="AP373" s="973">
        <f t="shared" si="850" ref="AP373:AQ373">AP322</f>
        <v>182</v>
      </c>
      <c r="AQ373" s="177">
        <f t="shared" si="850"/>
        <v>-185</v>
      </c>
      <c r="AR373" s="177">
        <f t="shared" si="821"/>
        <v>-138</v>
      </c>
      <c r="AS373" s="177">
        <f t="shared" si="821"/>
        <v>234</v>
      </c>
      <c r="AT373" s="177">
        <f t="shared" si="821"/>
        <v>10</v>
      </c>
      <c r="AU373" s="973">
        <f t="shared" si="851" ref="AU373:AV373">AU322</f>
        <v>-79</v>
      </c>
      <c r="AV373" s="177">
        <f t="shared" si="851"/>
        <v>-56</v>
      </c>
      <c r="AW373" s="177">
        <f>AW322-AV322</f>
        <v>-364</v>
      </c>
      <c r="AX373" s="177">
        <f t="shared" si="824"/>
        <v>-135</v>
      </c>
      <c r="AY373" s="177">
        <f t="shared" si="824"/>
        <v>419</v>
      </c>
      <c r="AZ373" s="973">
        <f t="shared" si="852" ref="AZ373:BA373">AZ322</f>
        <v>-136</v>
      </c>
      <c r="BA373" s="177">
        <f t="shared" si="852"/>
        <v>-51</v>
      </c>
      <c r="BB373" s="177">
        <f t="shared" si="826"/>
        <v>-396</v>
      </c>
      <c r="BC373" s="177">
        <f t="shared" si="826"/>
        <v>56</v>
      </c>
      <c r="BD373" s="177">
        <f t="shared" si="827"/>
        <v>1434</v>
      </c>
      <c r="BE373" s="973">
        <f t="shared" si="853" ref="BE373:BF373">BE322</f>
        <v>1043</v>
      </c>
      <c r="BF373" s="177">
        <f t="shared" si="853"/>
        <v>-322</v>
      </c>
      <c r="BG373" s="177">
        <f t="shared" si="829"/>
        <v>-232</v>
      </c>
      <c r="BH373" s="638">
        <f t="shared" si="830"/>
        <v>50</v>
      </c>
      <c r="BI373" s="177"/>
      <c r="BJ373" s="973">
        <f t="shared" si="831"/>
        <v>-504</v>
      </c>
      <c r="BK373" s="177"/>
      <c r="BL373" s="177"/>
      <c r="BM373" s="177"/>
      <c r="BN373" s="177"/>
      <c r="BO373" s="973">
        <f t="shared" si="832"/>
        <v>0</v>
      </c>
      <c r="BP373" s="973"/>
      <c r="BQ373" s="973"/>
      <c r="BR373" s="973"/>
      <c r="BS373" s="113"/>
    </row>
    <row r="374" spans="1:71" s="44" customFormat="1" ht="15">
      <c r="A374" s="366" t="str">
        <f t="shared" si="780"/>
        <v>Net CFO</v>
      </c>
      <c r="B374" s="367"/>
      <c r="C374" s="982">
        <f t="shared" si="854" ref="C374:AM374">SUM(C367:C373)</f>
        <v>6161</v>
      </c>
      <c r="D374" s="982">
        <f t="shared" si="854"/>
        <v>6989</v>
      </c>
      <c r="E374" s="982">
        <f t="shared" si="854"/>
        <v>10842</v>
      </c>
      <c r="F374" s="982">
        <f t="shared" si="854"/>
        <v>14952</v>
      </c>
      <c r="G374" s="982">
        <f t="shared" si="854"/>
        <v>10547</v>
      </c>
      <c r="H374" s="25">
        <f t="shared" si="854"/>
        <v>1615</v>
      </c>
      <c r="I374" s="25">
        <f t="shared" si="854"/>
        <v>1517</v>
      </c>
      <c r="J374" s="25">
        <f t="shared" si="854"/>
        <v>1445</v>
      </c>
      <c r="K374" s="25">
        <f t="shared" si="854"/>
        <v>1973</v>
      </c>
      <c r="L374" s="982">
        <f t="shared" si="854"/>
        <v>6550</v>
      </c>
      <c r="M374" s="25">
        <f t="shared" si="854"/>
        <v>1460</v>
      </c>
      <c r="N374" s="25">
        <f t="shared" si="854"/>
        <v>1643</v>
      </c>
      <c r="O374" s="25">
        <f t="shared" si="854"/>
        <v>1667</v>
      </c>
      <c r="P374" s="25">
        <f t="shared" si="854"/>
        <v>2006</v>
      </c>
      <c r="Q374" s="982">
        <f t="shared" si="854"/>
        <v>6776</v>
      </c>
      <c r="R374" s="25">
        <f t="shared" si="854"/>
        <v>1331</v>
      </c>
      <c r="S374" s="25">
        <f t="shared" si="854"/>
        <v>1523</v>
      </c>
      <c r="T374" s="25">
        <f t="shared" si="854"/>
        <v>1266</v>
      </c>
      <c r="U374" s="25">
        <f t="shared" si="854"/>
        <v>1867</v>
      </c>
      <c r="V374" s="982">
        <f t="shared" si="854"/>
        <v>5987</v>
      </c>
      <c r="W374" s="25">
        <f t="shared" si="854"/>
        <v>1757</v>
      </c>
      <c r="X374" s="25">
        <f t="shared" si="854"/>
        <v>1408</v>
      </c>
      <c r="Y374" s="25">
        <f t="shared" si="854"/>
        <v>1431</v>
      </c>
      <c r="Z374" s="25">
        <f t="shared" si="854"/>
        <v>1532</v>
      </c>
      <c r="AA374" s="982">
        <f t="shared" si="854"/>
        <v>6128</v>
      </c>
      <c r="AB374" s="25">
        <f t="shared" si="854"/>
        <v>1238</v>
      </c>
      <c r="AC374" s="25">
        <f t="shared" si="854"/>
        <v>1569</v>
      </c>
      <c r="AD374" s="25">
        <f t="shared" si="854"/>
        <v>1852</v>
      </c>
      <c r="AE374" s="25">
        <f t="shared" si="854"/>
        <v>1355</v>
      </c>
      <c r="AF374" s="982">
        <f t="shared" si="854"/>
        <v>6014</v>
      </c>
      <c r="AG374" s="25">
        <f t="shared" si="854"/>
        <v>1544</v>
      </c>
      <c r="AH374" s="25">
        <f t="shared" si="854"/>
        <v>813</v>
      </c>
      <c r="AI374" s="25">
        <f t="shared" si="854"/>
        <v>1906</v>
      </c>
      <c r="AJ374" s="25">
        <f t="shared" si="854"/>
        <v>1192</v>
      </c>
      <c r="AK374" s="982">
        <f t="shared" si="854"/>
        <v>5455</v>
      </c>
      <c r="AL374" s="25">
        <f t="shared" si="854"/>
        <v>1414</v>
      </c>
      <c r="AM374" s="25">
        <f t="shared" si="854"/>
        <v>1187</v>
      </c>
      <c r="AN374" s="25">
        <f t="shared" si="855" ref="AN374:AR374">SUM(AN367:AN373)</f>
        <v>2000</v>
      </c>
      <c r="AO374" s="25">
        <f t="shared" si="855"/>
        <v>1357</v>
      </c>
      <c r="AP374" s="982">
        <f t="shared" si="855"/>
        <v>5958</v>
      </c>
      <c r="AQ374" s="25">
        <f t="shared" si="855"/>
        <v>1366</v>
      </c>
      <c r="AR374" s="25">
        <f t="shared" si="855"/>
        <v>962</v>
      </c>
      <c r="AS374" s="25">
        <f t="shared" si="856" ref="AS374:AW374">SUM(AS367:AS373)</f>
        <v>1853</v>
      </c>
      <c r="AT374" s="25">
        <f t="shared" si="856"/>
        <v>870</v>
      </c>
      <c r="AU374" s="982">
        <f t="shared" si="856"/>
        <v>5051</v>
      </c>
      <c r="AV374" s="25">
        <f t="shared" si="856"/>
        <v>1260</v>
      </c>
      <c r="AW374" s="25">
        <f t="shared" si="856"/>
        <v>510</v>
      </c>
      <c r="AX374" s="25">
        <f t="shared" si="857" ref="AX374:AZ374">SUM(AX367:AX373)</f>
        <v>1076</v>
      </c>
      <c r="AY374" s="25">
        <f t="shared" si="857"/>
        <v>1033</v>
      </c>
      <c r="AZ374" s="982">
        <f t="shared" si="857"/>
        <v>3879</v>
      </c>
      <c r="BA374" s="25">
        <f t="shared" si="858" ref="BA374:BJ374">SUM(BA367:BA373)</f>
        <v>708</v>
      </c>
      <c r="BB374" s="25">
        <f t="shared" si="858"/>
        <v>379</v>
      </c>
      <c r="BC374" s="25">
        <f>SUM(BC367:BC373)</f>
        <v>1270</v>
      </c>
      <c r="BD374" s="25">
        <f t="shared" si="859" ref="BD374:BE374">SUM(BD367:BD373)</f>
        <v>833</v>
      </c>
      <c r="BE374" s="982">
        <f t="shared" si="859"/>
        <v>3190</v>
      </c>
      <c r="BF374" s="25">
        <f>SUM(BF367:BF373)</f>
        <v>849</v>
      </c>
      <c r="BG374" s="25">
        <f t="shared" si="860" ref="BG374">SUM(BG367:BG373)</f>
        <v>255</v>
      </c>
      <c r="BH374" s="749">
        <f>SUM(BH367:BH373)</f>
        <v>1270</v>
      </c>
      <c r="BI374" s="25">
        <f>SUM(BI367:BI373)</f>
        <v>1672.8994240170482</v>
      </c>
      <c r="BJ374" s="982">
        <f t="shared" si="858"/>
        <v>4046.8994240170487</v>
      </c>
      <c r="BK374" s="25">
        <f t="shared" si="861" ref="BK374:BR374">SUM(BK367:BK373)</f>
        <v>1315.0212842817609</v>
      </c>
      <c r="BL374" s="25">
        <f t="shared" si="861"/>
        <v>1301.1088142942431</v>
      </c>
      <c r="BM374" s="25">
        <f t="shared" si="861"/>
        <v>1360.7349643565378</v>
      </c>
      <c r="BN374" s="25">
        <f t="shared" si="861"/>
        <v>1498.5478859323689</v>
      </c>
      <c r="BO374" s="982">
        <f t="shared" si="861"/>
        <v>5475.4129488649105</v>
      </c>
      <c r="BP374" s="982">
        <f t="shared" si="861"/>
        <v>5594.4502118591899</v>
      </c>
      <c r="BQ374" s="982">
        <f t="shared" si="861"/>
        <v>5668.1886989145314</v>
      </c>
      <c r="BR374" s="982">
        <f t="shared" si="861"/>
        <v>5001.2671553295768</v>
      </c>
      <c r="BS374" s="124"/>
    </row>
    <row r="375" spans="1:71" s="44" customFormat="1" ht="15">
      <c r="A375" s="368"/>
      <c r="B375" s="369"/>
      <c r="C375" s="978"/>
      <c r="D375" s="978"/>
      <c r="E375" s="978"/>
      <c r="F375" s="978"/>
      <c r="G375" s="978"/>
      <c r="H375" s="185"/>
      <c r="I375" s="185"/>
      <c r="J375" s="185"/>
      <c r="K375" s="185"/>
      <c r="L375" s="978"/>
      <c r="M375" s="185"/>
      <c r="N375" s="185"/>
      <c r="O375" s="185"/>
      <c r="P375" s="185"/>
      <c r="Q375" s="978"/>
      <c r="R375" s="185"/>
      <c r="S375" s="185"/>
      <c r="T375" s="185"/>
      <c r="U375" s="185"/>
      <c r="V375" s="978"/>
      <c r="W375" s="185"/>
      <c r="X375" s="185"/>
      <c r="Y375" s="185"/>
      <c r="Z375" s="185"/>
      <c r="AA375" s="978"/>
      <c r="AB375" s="185"/>
      <c r="AC375" s="185"/>
      <c r="AD375" s="185"/>
      <c r="AE375" s="185"/>
      <c r="AF375" s="978"/>
      <c r="AG375" s="185"/>
      <c r="AH375" s="185"/>
      <c r="AI375" s="185"/>
      <c r="AJ375" s="185"/>
      <c r="AK375" s="978"/>
      <c r="AL375" s="185"/>
      <c r="AM375" s="185"/>
      <c r="AN375" s="185"/>
      <c r="AO375" s="185"/>
      <c r="AP375" s="978"/>
      <c r="AQ375" s="185"/>
      <c r="AR375" s="185"/>
      <c r="AS375" s="185"/>
      <c r="AT375" s="185"/>
      <c r="AU375" s="978"/>
      <c r="AV375" s="185"/>
      <c r="AW375" s="185"/>
      <c r="AX375" s="185"/>
      <c r="AY375" s="185"/>
      <c r="AZ375" s="978"/>
      <c r="BA375" s="185"/>
      <c r="BB375" s="185"/>
      <c r="BC375" s="185"/>
      <c r="BD375" s="185"/>
      <c r="BE375" s="978"/>
      <c r="BF375" s="185"/>
      <c r="BG375" s="185"/>
      <c r="BH375" s="552"/>
      <c r="BI375" s="185"/>
      <c r="BJ375" s="978"/>
      <c r="BK375" s="185"/>
      <c r="BL375" s="185"/>
      <c r="BM375" s="185"/>
      <c r="BN375" s="185"/>
      <c r="BO375" s="978"/>
      <c r="BP375" s="978"/>
      <c r="BQ375" s="978"/>
      <c r="BR375" s="978"/>
      <c r="BS375" s="124"/>
    </row>
    <row r="376" spans="1:71" s="44" customFormat="1" ht="15">
      <c r="A376" s="368" t="str">
        <f t="shared" si="862" ref="A376:A393">A325</f>
        <v>CFI</v>
      </c>
      <c r="B376" s="369"/>
      <c r="C376" s="978"/>
      <c r="D376" s="978"/>
      <c r="E376" s="978"/>
      <c r="F376" s="978"/>
      <c r="G376" s="978"/>
      <c r="H376" s="185"/>
      <c r="I376" s="185"/>
      <c r="J376" s="185"/>
      <c r="K376" s="185"/>
      <c r="L376" s="978"/>
      <c r="M376" s="185"/>
      <c r="N376" s="185"/>
      <c r="O376" s="185"/>
      <c r="P376" s="185"/>
      <c r="Q376" s="978"/>
      <c r="R376" s="185"/>
      <c r="S376" s="185"/>
      <c r="T376" s="185"/>
      <c r="U376" s="185"/>
      <c r="V376" s="978"/>
      <c r="W376" s="185"/>
      <c r="X376" s="185"/>
      <c r="Y376" s="185"/>
      <c r="Z376" s="185"/>
      <c r="AA376" s="978"/>
      <c r="AB376" s="185"/>
      <c r="AC376" s="185"/>
      <c r="AD376" s="185"/>
      <c r="AE376" s="185"/>
      <c r="AF376" s="978"/>
      <c r="AG376" s="185"/>
      <c r="AH376" s="185"/>
      <c r="AI376" s="185"/>
      <c r="AJ376" s="185"/>
      <c r="AK376" s="978"/>
      <c r="AL376" s="185"/>
      <c r="AM376" s="185"/>
      <c r="AN376" s="185"/>
      <c r="AO376" s="185"/>
      <c r="AP376" s="978"/>
      <c r="AQ376" s="185"/>
      <c r="AR376" s="185"/>
      <c r="AS376" s="185"/>
      <c r="AT376" s="185"/>
      <c r="AU376" s="978"/>
      <c r="AV376" s="185"/>
      <c r="AW376" s="185"/>
      <c r="AX376" s="185"/>
      <c r="AY376" s="185"/>
      <c r="AZ376" s="978"/>
      <c r="BA376" s="185"/>
      <c r="BB376" s="185"/>
      <c r="BC376" s="185"/>
      <c r="BD376" s="185"/>
      <c r="BE376" s="978"/>
      <c r="BF376" s="185"/>
      <c r="BG376" s="185"/>
      <c r="BH376" s="552"/>
      <c r="BI376" s="185"/>
      <c r="BJ376" s="978"/>
      <c r="BK376" s="185"/>
      <c r="BL376" s="185"/>
      <c r="BM376" s="185"/>
      <c r="BN376" s="185"/>
      <c r="BO376" s="978"/>
      <c r="BP376" s="978"/>
      <c r="BQ376" s="978"/>
      <c r="BR376" s="978"/>
      <c r="BS376" s="124"/>
    </row>
    <row r="377" spans="1:71" s="224" customFormat="1" ht="15">
      <c r="A377" s="362" t="str">
        <f t="shared" si="862"/>
        <v>Fixed maturities sold, available for sale</v>
      </c>
      <c r="B377" s="176"/>
      <c r="C377" s="971">
        <f t="shared" si="863" ref="C377:H386">C326</f>
        <v>4798</v>
      </c>
      <c r="D377" s="971">
        <f t="shared" si="863"/>
        <v>2724</v>
      </c>
      <c r="E377" s="971">
        <f t="shared" si="863"/>
        <v>14385</v>
      </c>
      <c r="F377" s="971">
        <f t="shared" si="863"/>
        <v>7385</v>
      </c>
      <c r="G377" s="971">
        <f t="shared" si="863"/>
        <v>9631</v>
      </c>
      <c r="H377" s="176">
        <f t="shared" si="863"/>
        <v>677</v>
      </c>
      <c r="I377" s="176">
        <f t="shared" si="864" ref="I377:K392">I326-H326</f>
        <v>859</v>
      </c>
      <c r="J377" s="176">
        <f t="shared" si="864"/>
        <v>237</v>
      </c>
      <c r="K377" s="176">
        <f t="shared" si="864"/>
        <v>2405</v>
      </c>
      <c r="L377" s="971">
        <f t="shared" si="865" ref="L377:M392">L326</f>
        <v>4178</v>
      </c>
      <c r="M377" s="176">
        <f t="shared" si="865"/>
        <v>484</v>
      </c>
      <c r="N377" s="176">
        <f t="shared" si="866" ref="N377:P392">N326-M326</f>
        <v>926</v>
      </c>
      <c r="O377" s="176">
        <f t="shared" si="866"/>
        <v>419</v>
      </c>
      <c r="P377" s="176">
        <f t="shared" si="866"/>
        <v>1395</v>
      </c>
      <c r="Q377" s="971">
        <f t="shared" si="867" ref="Q377:R392">Q326</f>
        <v>3224</v>
      </c>
      <c r="R377" s="176">
        <f t="shared" si="867"/>
        <v>266</v>
      </c>
      <c r="S377" s="176">
        <f t="shared" si="868" ref="S377:U392">S326-R326</f>
        <v>409</v>
      </c>
      <c r="T377" s="176">
        <f t="shared" si="868"/>
        <v>303</v>
      </c>
      <c r="U377" s="176">
        <f t="shared" si="868"/>
        <v>4179</v>
      </c>
      <c r="V377" s="971">
        <f t="shared" si="869" ref="V377:W392">V326</f>
        <v>5157</v>
      </c>
      <c r="W377" s="176">
        <f t="shared" si="869"/>
        <v>1385</v>
      </c>
      <c r="X377" s="176">
        <f t="shared" si="870" ref="X377:Z392">X326-W326</f>
        <v>729</v>
      </c>
      <c r="Y377" s="176">
        <f t="shared" si="870"/>
        <v>519</v>
      </c>
      <c r="Z377" s="176">
        <f t="shared" si="870"/>
        <v>1186</v>
      </c>
      <c r="AA377" s="971">
        <f t="shared" si="871" ref="AA377:AB392">AA326</f>
        <v>3819</v>
      </c>
      <c r="AB377" s="176">
        <f t="shared" si="871"/>
        <v>433</v>
      </c>
      <c r="AC377" s="176">
        <f t="shared" si="872" ref="AC377:AE392">AC326-AB326</f>
        <v>3436</v>
      </c>
      <c r="AD377" s="176">
        <f t="shared" si="872"/>
        <v>2122</v>
      </c>
      <c r="AE377" s="176">
        <f t="shared" si="872"/>
        <v>1897</v>
      </c>
      <c r="AF377" s="971">
        <f t="shared" si="873" ref="AF377:AG392">AF326</f>
        <v>7888</v>
      </c>
      <c r="AG377" s="176">
        <f t="shared" si="873"/>
        <v>760</v>
      </c>
      <c r="AH377" s="176">
        <f t="shared" si="874" ref="AH377:AJ392">AH326-AG326</f>
        <v>1345</v>
      </c>
      <c r="AI377" s="176">
        <f t="shared" si="874"/>
        <v>1022</v>
      </c>
      <c r="AJ377" s="176">
        <f t="shared" si="874"/>
        <v>2157</v>
      </c>
      <c r="AK377" s="971">
        <f t="shared" si="875" ref="AK377:AL392">AK326</f>
        <v>5284</v>
      </c>
      <c r="AL377" s="176">
        <f t="shared" si="875"/>
        <v>726</v>
      </c>
      <c r="AM377" s="176">
        <f t="shared" si="876" ref="AM377:AO392">AM326-AL326</f>
        <v>1255</v>
      </c>
      <c r="AN377" s="176">
        <f t="shared" si="876"/>
        <v>707</v>
      </c>
      <c r="AO377" s="176">
        <f t="shared" si="876"/>
        <v>1037</v>
      </c>
      <c r="AP377" s="971">
        <f t="shared" si="877" ref="AP377:AQ377">AP326</f>
        <v>3725</v>
      </c>
      <c r="AQ377" s="176">
        <f t="shared" si="877"/>
        <v>651</v>
      </c>
      <c r="AR377" s="176">
        <f t="shared" si="878" ref="AR377:AT392">AR326-AQ326</f>
        <v>817</v>
      </c>
      <c r="AS377" s="176">
        <f t="shared" si="878"/>
        <v>1251</v>
      </c>
      <c r="AT377" s="176">
        <f t="shared" si="878"/>
        <v>1438</v>
      </c>
      <c r="AU377" s="971">
        <f t="shared" si="879" ref="AU377:AV377">AU326</f>
        <v>4157</v>
      </c>
      <c r="AV377" s="176">
        <f t="shared" si="879"/>
        <v>545</v>
      </c>
      <c r="AW377" s="176">
        <f t="shared" si="880" ref="AW377">AW326-AV326</f>
        <v>1619</v>
      </c>
      <c r="AX377" s="176">
        <f t="shared" si="881" ref="AX377:AY392">AX326-AW326</f>
        <v>833</v>
      </c>
      <c r="AY377" s="176">
        <f t="shared" si="881"/>
        <v>1421</v>
      </c>
      <c r="AZ377" s="971">
        <f t="shared" si="882" ref="AZ377:BA377">AZ326</f>
        <v>4418</v>
      </c>
      <c r="BA377" s="176">
        <f t="shared" si="882"/>
        <v>949</v>
      </c>
      <c r="BB377" s="176">
        <f t="shared" si="883" ref="BB377:BC392">BB326-BA326</f>
        <v>599</v>
      </c>
      <c r="BC377" s="176">
        <f t="shared" si="883"/>
        <v>564</v>
      </c>
      <c r="BD377" s="176">
        <f t="shared" si="884" ref="BD377:BD392">BD326-BC326</f>
        <v>1699</v>
      </c>
      <c r="BE377" s="971">
        <f t="shared" si="885" ref="BE377:BF377">BE326</f>
        <v>3811</v>
      </c>
      <c r="BF377" s="176">
        <f t="shared" si="885"/>
        <v>2286</v>
      </c>
      <c r="BG377" s="176">
        <f t="shared" si="886" ref="BG377:BG392">BG326-BF326</f>
        <v>1312</v>
      </c>
      <c r="BH377" s="551">
        <f t="shared" si="887" ref="BH377:BH392">BH326-BG326</f>
        <v>1234</v>
      </c>
      <c r="BI377" s="176">
        <f>-MIN(0,BI64-BH64)</f>
        <v>0</v>
      </c>
      <c r="BJ377" s="971">
        <f t="shared" si="888" ref="BJ377:BJ392">SUM(BF377,BG377,BH377,BI377)</f>
        <v>4832</v>
      </c>
      <c r="BK377" s="176">
        <f>-MIN(0,BK64-BJ64)</f>
        <v>2449.1100000000151</v>
      </c>
      <c r="BL377" s="176">
        <f>-MIN(0,BL64-BK64)</f>
        <v>5065.6800000000076</v>
      </c>
      <c r="BM377" s="176">
        <f>-MIN(0,BM64-BL64)</f>
        <v>0</v>
      </c>
      <c r="BN377" s="176">
        <f>-MIN(0,BN64-BM64)</f>
        <v>0</v>
      </c>
      <c r="BO377" s="971">
        <f t="shared" si="889" ref="BO377:BO392">SUM(BK377,BL377,BM377,BN377)</f>
        <v>7514.7900000000227</v>
      </c>
      <c r="BP377" s="971">
        <f>-MIN(0,BP64-BO64)</f>
        <v>0</v>
      </c>
      <c r="BQ377" s="971">
        <f>-MIN(0,BQ64-BP64)</f>
        <v>0</v>
      </c>
      <c r="BR377" s="971">
        <f>-MIN(0,BR64-BQ64)</f>
        <v>0</v>
      </c>
      <c r="BS377" s="113"/>
    </row>
    <row r="378" spans="1:71" s="224" customFormat="1" ht="15">
      <c r="A378" s="362" t="str">
        <f t="shared" si="862"/>
        <v>Fixed maturities matured or called, available for sale</v>
      </c>
      <c r="B378" s="176"/>
      <c r="C378" s="971">
        <f t="shared" si="863"/>
        <v>1976</v>
      </c>
      <c r="D378" s="971">
        <f t="shared" si="863"/>
        <v>1243</v>
      </c>
      <c r="E378" s="971">
        <f t="shared" si="863"/>
        <v>170</v>
      </c>
      <c r="F378" s="971">
        <f t="shared" si="863"/>
        <v>1959</v>
      </c>
      <c r="G378" s="971">
        <f t="shared" si="863"/>
        <v>2907</v>
      </c>
      <c r="H378" s="176">
        <f t="shared" si="863"/>
        <v>222</v>
      </c>
      <c r="I378" s="176">
        <f t="shared" si="864"/>
        <v>108</v>
      </c>
      <c r="J378" s="176">
        <f t="shared" si="864"/>
        <v>393</v>
      </c>
      <c r="K378" s="176">
        <f t="shared" si="864"/>
        <v>278</v>
      </c>
      <c r="L378" s="971">
        <f t="shared" si="865"/>
        <v>1001</v>
      </c>
      <c r="M378" s="176">
        <f t="shared" si="865"/>
        <v>66</v>
      </c>
      <c r="N378" s="176">
        <f t="shared" si="866"/>
        <v>452</v>
      </c>
      <c r="O378" s="176">
        <f t="shared" si="866"/>
        <v>187</v>
      </c>
      <c r="P378" s="176">
        <f t="shared" si="866"/>
        <v>427</v>
      </c>
      <c r="Q378" s="971">
        <f t="shared" si="867"/>
        <v>1132</v>
      </c>
      <c r="R378" s="176">
        <f t="shared" si="867"/>
        <v>408</v>
      </c>
      <c r="S378" s="176">
        <f t="shared" si="868"/>
        <v>204</v>
      </c>
      <c r="T378" s="176">
        <f t="shared" si="868"/>
        <v>162</v>
      </c>
      <c r="U378" s="176">
        <f t="shared" si="868"/>
        <v>322</v>
      </c>
      <c r="V378" s="971">
        <f t="shared" si="869"/>
        <v>1096</v>
      </c>
      <c r="W378" s="176">
        <f t="shared" si="869"/>
        <v>204</v>
      </c>
      <c r="X378" s="176">
        <f t="shared" si="870"/>
        <v>247</v>
      </c>
      <c r="Y378" s="176">
        <f t="shared" si="870"/>
        <v>289</v>
      </c>
      <c r="Z378" s="176">
        <f t="shared" si="870"/>
        <v>28</v>
      </c>
      <c r="AA378" s="971">
        <f t="shared" si="871"/>
        <v>768</v>
      </c>
      <c r="AB378" s="176">
        <f t="shared" si="871"/>
        <v>510</v>
      </c>
      <c r="AC378" s="176">
        <f t="shared" si="872"/>
        <v>-510</v>
      </c>
      <c r="AD378" s="176">
        <f t="shared" si="872"/>
        <v>0</v>
      </c>
      <c r="AE378" s="176">
        <f t="shared" si="872"/>
        <v>936</v>
      </c>
      <c r="AF378" s="971">
        <f t="shared" si="873"/>
        <v>936</v>
      </c>
      <c r="AG378" s="176">
        <f t="shared" si="873"/>
        <v>0</v>
      </c>
      <c r="AH378" s="176">
        <f t="shared" si="874"/>
        <v>0</v>
      </c>
      <c r="AI378" s="176">
        <f t="shared" si="874"/>
        <v>0</v>
      </c>
      <c r="AJ378" s="176">
        <f t="shared" si="874"/>
        <v>1814</v>
      </c>
      <c r="AK378" s="971">
        <f t="shared" si="875"/>
        <v>1814</v>
      </c>
      <c r="AL378" s="176">
        <f t="shared" si="875"/>
        <v>0</v>
      </c>
      <c r="AM378" s="176">
        <f t="shared" si="876"/>
        <v>0</v>
      </c>
      <c r="AN378" s="176">
        <f t="shared" si="876"/>
        <v>0</v>
      </c>
      <c r="AO378" s="176">
        <f t="shared" si="876"/>
        <v>0</v>
      </c>
      <c r="AP378" s="971">
        <f t="shared" si="890" ref="AP378:AQ378">AP327</f>
        <v>0</v>
      </c>
      <c r="AQ378" s="176">
        <f t="shared" si="890"/>
        <v>0</v>
      </c>
      <c r="AR378" s="176">
        <f t="shared" si="878"/>
        <v>0</v>
      </c>
      <c r="AS378" s="176">
        <f t="shared" si="878"/>
        <v>0</v>
      </c>
      <c r="AT378" s="176">
        <f t="shared" si="878"/>
        <v>0</v>
      </c>
      <c r="AU378" s="971">
        <f t="shared" si="891" ref="AU378:AV378">AU327</f>
        <v>0</v>
      </c>
      <c r="AV378" s="176">
        <f t="shared" si="891"/>
        <v>0</v>
      </c>
      <c r="AW378" s="176">
        <f t="shared" si="892" ref="AW378:AW392">AW327-AV327</f>
        <v>0</v>
      </c>
      <c r="AX378" s="176">
        <f t="shared" si="881"/>
        <v>0</v>
      </c>
      <c r="AY378" s="176">
        <f t="shared" si="881"/>
        <v>0</v>
      </c>
      <c r="AZ378" s="971">
        <f t="shared" si="893" ref="AZ378:BA378">AZ327</f>
        <v>0</v>
      </c>
      <c r="BA378" s="176">
        <f t="shared" si="893"/>
        <v>0</v>
      </c>
      <c r="BB378" s="176">
        <f t="shared" si="883"/>
        <v>0</v>
      </c>
      <c r="BC378" s="176">
        <f t="shared" si="883"/>
        <v>0</v>
      </c>
      <c r="BD378" s="176">
        <f t="shared" si="884"/>
        <v>0</v>
      </c>
      <c r="BE378" s="971">
        <f t="shared" si="894" ref="BE378:BF378">BE327</f>
        <v>0</v>
      </c>
      <c r="BF378" s="176">
        <f t="shared" si="894"/>
        <v>0</v>
      </c>
      <c r="BG378" s="176">
        <f t="shared" si="886"/>
        <v>0</v>
      </c>
      <c r="BH378" s="551">
        <f t="shared" si="887"/>
        <v>0</v>
      </c>
      <c r="BI378" s="176"/>
      <c r="BJ378" s="971">
        <f t="shared" si="888"/>
        <v>0</v>
      </c>
      <c r="BK378" s="176"/>
      <c r="BL378" s="176"/>
      <c r="BM378" s="176"/>
      <c r="BN378" s="176"/>
      <c r="BO378" s="971">
        <f t="shared" si="889"/>
        <v>0</v>
      </c>
      <c r="BP378" s="971"/>
      <c r="BQ378" s="971"/>
      <c r="BR378" s="971"/>
      <c r="BS378" s="113"/>
    </row>
    <row r="379" spans="1:71" s="224" customFormat="1" ht="15">
      <c r="A379" s="362" t="str">
        <f t="shared" si="862"/>
        <v>Perpetual securities sold, available for sale</v>
      </c>
      <c r="B379" s="176"/>
      <c r="C379" s="971">
        <f t="shared" si="863"/>
        <v>595</v>
      </c>
      <c r="D379" s="971">
        <f t="shared" si="863"/>
        <v>700</v>
      </c>
      <c r="E379" s="971">
        <f t="shared" si="863"/>
        <v>690</v>
      </c>
      <c r="F379" s="971">
        <f t="shared" si="863"/>
        <v>1599</v>
      </c>
      <c r="G379" s="971">
        <f t="shared" si="863"/>
        <v>264</v>
      </c>
      <c r="H379" s="176">
        <f t="shared" si="863"/>
        <v>0</v>
      </c>
      <c r="I379" s="176">
        <f t="shared" si="864"/>
        <v>60</v>
      </c>
      <c r="J379" s="176">
        <f t="shared" si="864"/>
        <v>0</v>
      </c>
      <c r="K379" s="176">
        <f t="shared" si="864"/>
        <v>-60</v>
      </c>
      <c r="L379" s="971">
        <f t="shared" si="865"/>
        <v>0</v>
      </c>
      <c r="M379" s="176">
        <f t="shared" si="865"/>
        <v>0</v>
      </c>
      <c r="N379" s="176">
        <f t="shared" si="866"/>
        <v>0</v>
      </c>
      <c r="O379" s="176">
        <f t="shared" si="866"/>
        <v>0</v>
      </c>
      <c r="P379" s="176">
        <f t="shared" si="866"/>
        <v>0</v>
      </c>
      <c r="Q379" s="971">
        <f t="shared" si="867"/>
        <v>0</v>
      </c>
      <c r="R379" s="176">
        <f t="shared" si="867"/>
        <v>0</v>
      </c>
      <c r="S379" s="176">
        <f t="shared" si="868"/>
        <v>0</v>
      </c>
      <c r="T379" s="176">
        <f t="shared" si="868"/>
        <v>0</v>
      </c>
      <c r="U379" s="176">
        <f t="shared" si="868"/>
        <v>0</v>
      </c>
      <c r="V379" s="971">
        <f t="shared" si="869"/>
        <v>0</v>
      </c>
      <c r="W379" s="176">
        <f t="shared" si="869"/>
        <v>0</v>
      </c>
      <c r="X379" s="176">
        <f t="shared" si="870"/>
        <v>0</v>
      </c>
      <c r="Y379" s="176">
        <f t="shared" si="870"/>
        <v>9</v>
      </c>
      <c r="Z379" s="176">
        <f t="shared" si="870"/>
        <v>-9</v>
      </c>
      <c r="AA379" s="971">
        <f t="shared" si="871"/>
        <v>0</v>
      </c>
      <c r="AB379" s="176">
        <f t="shared" si="871"/>
        <v>0</v>
      </c>
      <c r="AC379" s="176">
        <f t="shared" si="872"/>
        <v>0</v>
      </c>
      <c r="AD379" s="176">
        <f t="shared" si="872"/>
        <v>0</v>
      </c>
      <c r="AE379" s="176">
        <f t="shared" si="872"/>
        <v>0</v>
      </c>
      <c r="AF379" s="971">
        <f t="shared" si="873"/>
        <v>0</v>
      </c>
      <c r="AG379" s="176">
        <f t="shared" si="873"/>
        <v>0</v>
      </c>
      <c r="AH379" s="176">
        <f t="shared" si="874"/>
        <v>0</v>
      </c>
      <c r="AI379" s="176">
        <f t="shared" si="874"/>
        <v>0</v>
      </c>
      <c r="AJ379" s="176">
        <f t="shared" si="874"/>
        <v>0</v>
      </c>
      <c r="AK379" s="971">
        <f t="shared" si="875"/>
        <v>0</v>
      </c>
      <c r="AL379" s="176">
        <f t="shared" si="875"/>
        <v>0</v>
      </c>
      <c r="AM379" s="176">
        <f t="shared" si="876"/>
        <v>0</v>
      </c>
      <c r="AN379" s="176">
        <f t="shared" si="876"/>
        <v>0</v>
      </c>
      <c r="AO379" s="176">
        <f t="shared" si="876"/>
        <v>0</v>
      </c>
      <c r="AP379" s="971">
        <f t="shared" si="895" ref="AP379:AQ379">AP328</f>
        <v>0</v>
      </c>
      <c r="AQ379" s="176">
        <f t="shared" si="895"/>
        <v>0</v>
      </c>
      <c r="AR379" s="176">
        <f t="shared" si="878"/>
        <v>0</v>
      </c>
      <c r="AS379" s="176">
        <f t="shared" si="878"/>
        <v>0</v>
      </c>
      <c r="AT379" s="176">
        <f t="shared" si="878"/>
        <v>0</v>
      </c>
      <c r="AU379" s="971">
        <f t="shared" si="896" ref="AU379:AV379">AU328</f>
        <v>0</v>
      </c>
      <c r="AV379" s="176">
        <f t="shared" si="896"/>
        <v>0</v>
      </c>
      <c r="AW379" s="176">
        <f t="shared" si="892"/>
        <v>0</v>
      </c>
      <c r="AX379" s="176">
        <f t="shared" si="881"/>
        <v>0</v>
      </c>
      <c r="AY379" s="176">
        <f t="shared" si="881"/>
        <v>0</v>
      </c>
      <c r="AZ379" s="971">
        <f t="shared" si="897" ref="AZ379:BA379">AZ328</f>
        <v>0</v>
      </c>
      <c r="BA379" s="176">
        <f t="shared" si="897"/>
        <v>0</v>
      </c>
      <c r="BB379" s="176">
        <f t="shared" si="883"/>
        <v>0</v>
      </c>
      <c r="BC379" s="176">
        <f t="shared" si="883"/>
        <v>0</v>
      </c>
      <c r="BD379" s="176">
        <f t="shared" si="884"/>
        <v>0</v>
      </c>
      <c r="BE379" s="971">
        <f t="shared" si="898" ref="BE379:BF379">BE328</f>
        <v>0</v>
      </c>
      <c r="BF379" s="176">
        <f t="shared" si="898"/>
        <v>0</v>
      </c>
      <c r="BG379" s="176">
        <f t="shared" si="886"/>
        <v>0</v>
      </c>
      <c r="BH379" s="551">
        <f t="shared" si="887"/>
        <v>0</v>
      </c>
      <c r="BI379" s="176"/>
      <c r="BJ379" s="971">
        <f t="shared" si="888"/>
        <v>0</v>
      </c>
      <c r="BK379" s="176"/>
      <c r="BL379" s="176"/>
      <c r="BM379" s="176"/>
      <c r="BN379" s="176"/>
      <c r="BO379" s="971">
        <f t="shared" si="889"/>
        <v>0</v>
      </c>
      <c r="BP379" s="971"/>
      <c r="BQ379" s="971"/>
      <c r="BR379" s="971"/>
      <c r="BS379" s="113"/>
    </row>
    <row r="380" spans="1:71" s="224" customFormat="1" ht="15">
      <c r="A380" s="362" t="str">
        <f t="shared" si="862"/>
        <v>Perpetual securities matured or called, available for sale</v>
      </c>
      <c r="B380" s="176"/>
      <c r="C380" s="971">
        <f t="shared" si="863"/>
        <v>0</v>
      </c>
      <c r="D380" s="971">
        <f t="shared" si="863"/>
        <v>0</v>
      </c>
      <c r="E380" s="971">
        <f t="shared" si="863"/>
        <v>0</v>
      </c>
      <c r="F380" s="971">
        <f t="shared" si="863"/>
        <v>376</v>
      </c>
      <c r="G380" s="971">
        <f t="shared" si="863"/>
        <v>256</v>
      </c>
      <c r="H380" s="176">
        <f t="shared" si="863"/>
        <v>0</v>
      </c>
      <c r="I380" s="176">
        <f t="shared" si="864"/>
        <v>0</v>
      </c>
      <c r="J380" s="176">
        <f t="shared" si="864"/>
        <v>0</v>
      </c>
      <c r="K380" s="176">
        <f t="shared" si="864"/>
        <v>203</v>
      </c>
      <c r="L380" s="971">
        <f t="shared" si="865"/>
        <v>203</v>
      </c>
      <c r="M380" s="176">
        <f t="shared" si="865"/>
        <v>156</v>
      </c>
      <c r="N380" s="176">
        <f t="shared" si="866"/>
        <v>192</v>
      </c>
      <c r="O380" s="176">
        <f t="shared" si="866"/>
        <v>46</v>
      </c>
      <c r="P380" s="176">
        <f t="shared" si="866"/>
        <v>253</v>
      </c>
      <c r="Q380" s="971">
        <f t="shared" si="867"/>
        <v>647</v>
      </c>
      <c r="R380" s="176">
        <f t="shared" si="867"/>
        <v>35</v>
      </c>
      <c r="S380" s="176">
        <f t="shared" si="868"/>
        <v>199</v>
      </c>
      <c r="T380" s="176">
        <f t="shared" si="868"/>
        <v>0</v>
      </c>
      <c r="U380" s="176">
        <f t="shared" si="868"/>
        <v>236</v>
      </c>
      <c r="V380" s="971">
        <f t="shared" si="869"/>
        <v>470</v>
      </c>
      <c r="W380" s="176">
        <f t="shared" si="869"/>
        <v>0</v>
      </c>
      <c r="X380" s="176">
        <f t="shared" si="870"/>
        <v>9</v>
      </c>
      <c r="Y380" s="176">
        <f t="shared" si="870"/>
        <v>-9</v>
      </c>
      <c r="Z380" s="176">
        <f t="shared" si="870"/>
        <v>93</v>
      </c>
      <c r="AA380" s="971">
        <f t="shared" si="871"/>
        <v>93</v>
      </c>
      <c r="AB380" s="176">
        <f t="shared" si="871"/>
        <v>0</v>
      </c>
      <c r="AC380" s="176">
        <f t="shared" si="872"/>
        <v>0</v>
      </c>
      <c r="AD380" s="176">
        <f t="shared" si="872"/>
        <v>0</v>
      </c>
      <c r="AE380" s="176">
        <f t="shared" si="872"/>
        <v>0</v>
      </c>
      <c r="AF380" s="971">
        <f t="shared" si="873"/>
        <v>0</v>
      </c>
      <c r="AG380" s="176">
        <f t="shared" si="873"/>
        <v>0</v>
      </c>
      <c r="AH380" s="176">
        <f t="shared" si="874"/>
        <v>0</v>
      </c>
      <c r="AI380" s="176">
        <f t="shared" si="874"/>
        <v>0</v>
      </c>
      <c r="AJ380" s="176">
        <f t="shared" si="874"/>
        <v>0</v>
      </c>
      <c r="AK380" s="971">
        <f t="shared" si="875"/>
        <v>0</v>
      </c>
      <c r="AL380" s="176">
        <f t="shared" si="875"/>
        <v>0</v>
      </c>
      <c r="AM380" s="176">
        <f t="shared" si="876"/>
        <v>0</v>
      </c>
      <c r="AN380" s="176">
        <f t="shared" si="876"/>
        <v>0</v>
      </c>
      <c r="AO380" s="176">
        <f t="shared" si="876"/>
        <v>0</v>
      </c>
      <c r="AP380" s="971">
        <f t="shared" si="899" ref="AP380:AQ380">AP329</f>
        <v>0</v>
      </c>
      <c r="AQ380" s="176">
        <f t="shared" si="899"/>
        <v>0</v>
      </c>
      <c r="AR380" s="176">
        <f t="shared" si="878"/>
        <v>0</v>
      </c>
      <c r="AS380" s="176">
        <f t="shared" si="878"/>
        <v>0</v>
      </c>
      <c r="AT380" s="176">
        <f t="shared" si="878"/>
        <v>0</v>
      </c>
      <c r="AU380" s="971">
        <f t="shared" si="900" ref="AU380:AV380">AU329</f>
        <v>0</v>
      </c>
      <c r="AV380" s="176">
        <f t="shared" si="900"/>
        <v>0</v>
      </c>
      <c r="AW380" s="176">
        <f t="shared" si="892"/>
        <v>0</v>
      </c>
      <c r="AX380" s="176">
        <f t="shared" si="881"/>
        <v>0</v>
      </c>
      <c r="AY380" s="176">
        <f t="shared" si="881"/>
        <v>0</v>
      </c>
      <c r="AZ380" s="971">
        <f t="shared" si="901" ref="AZ380:BA380">AZ329</f>
        <v>0</v>
      </c>
      <c r="BA380" s="176">
        <f t="shared" si="901"/>
        <v>0</v>
      </c>
      <c r="BB380" s="176">
        <f t="shared" si="883"/>
        <v>0</v>
      </c>
      <c r="BC380" s="176">
        <f t="shared" si="883"/>
        <v>0</v>
      </c>
      <c r="BD380" s="176">
        <f t="shared" si="884"/>
        <v>0</v>
      </c>
      <c r="BE380" s="971">
        <f t="shared" si="902" ref="BE380:BF380">BE329</f>
        <v>0</v>
      </c>
      <c r="BF380" s="176">
        <f t="shared" si="902"/>
        <v>0</v>
      </c>
      <c r="BG380" s="176">
        <f t="shared" si="886"/>
        <v>0</v>
      </c>
      <c r="BH380" s="551">
        <f t="shared" si="887"/>
        <v>0</v>
      </c>
      <c r="BI380" s="176"/>
      <c r="BJ380" s="971">
        <f t="shared" si="888"/>
        <v>0</v>
      </c>
      <c r="BK380" s="176"/>
      <c r="BL380" s="176"/>
      <c r="BM380" s="176"/>
      <c r="BN380" s="176"/>
      <c r="BO380" s="971">
        <f t="shared" si="889"/>
        <v>0</v>
      </c>
      <c r="BP380" s="971"/>
      <c r="BQ380" s="971"/>
      <c r="BR380" s="971"/>
      <c r="BS380" s="113"/>
    </row>
    <row r="381" spans="1:71" s="224" customFormat="1" ht="15">
      <c r="A381" s="362" t="str">
        <f t="shared" si="862"/>
        <v>Equity securities sold, available for sale</v>
      </c>
      <c r="B381" s="176"/>
      <c r="C381" s="971">
        <f t="shared" si="863"/>
        <v>2</v>
      </c>
      <c r="D381" s="971">
        <f t="shared" si="863"/>
        <v>328</v>
      </c>
      <c r="E381" s="971">
        <f t="shared" si="863"/>
        <v>0</v>
      </c>
      <c r="F381" s="971">
        <f t="shared" si="863"/>
        <v>0</v>
      </c>
      <c r="G381" s="971">
        <f t="shared" si="863"/>
        <v>0</v>
      </c>
      <c r="H381" s="176">
        <f t="shared" si="863"/>
        <v>0</v>
      </c>
      <c r="I381" s="176">
        <f t="shared" si="864"/>
        <v>0</v>
      </c>
      <c r="J381" s="176">
        <f t="shared" si="864"/>
        <v>0</v>
      </c>
      <c r="K381" s="176">
        <f t="shared" si="864"/>
        <v>0</v>
      </c>
      <c r="L381" s="971">
        <f t="shared" si="865"/>
        <v>0</v>
      </c>
      <c r="M381" s="176">
        <f t="shared" si="865"/>
        <v>0</v>
      </c>
      <c r="N381" s="176">
        <f t="shared" si="866"/>
        <v>1</v>
      </c>
      <c r="O381" s="176">
        <f t="shared" si="866"/>
        <v>0</v>
      </c>
      <c r="P381" s="176">
        <f t="shared" si="866"/>
        <v>0</v>
      </c>
      <c r="Q381" s="971">
        <f t="shared" si="867"/>
        <v>1</v>
      </c>
      <c r="R381" s="176">
        <f t="shared" si="867"/>
        <v>0</v>
      </c>
      <c r="S381" s="176">
        <f t="shared" si="868"/>
        <v>50</v>
      </c>
      <c r="T381" s="176">
        <f t="shared" si="868"/>
        <v>123</v>
      </c>
      <c r="U381" s="176">
        <f t="shared" si="868"/>
        <v>177</v>
      </c>
      <c r="V381" s="971">
        <f t="shared" si="869"/>
        <v>350</v>
      </c>
      <c r="W381" s="176">
        <f t="shared" si="869"/>
        <v>155</v>
      </c>
      <c r="X381" s="176">
        <f t="shared" si="870"/>
        <v>2</v>
      </c>
      <c r="Y381" s="176">
        <f t="shared" si="870"/>
        <v>598</v>
      </c>
      <c r="Z381" s="176">
        <f t="shared" si="870"/>
        <v>147</v>
      </c>
      <c r="AA381" s="971">
        <f t="shared" si="871"/>
        <v>902</v>
      </c>
      <c r="AB381" s="176">
        <f t="shared" si="871"/>
        <v>157</v>
      </c>
      <c r="AC381" s="176">
        <f t="shared" si="872"/>
        <v>59</v>
      </c>
      <c r="AD381" s="176">
        <f t="shared" si="872"/>
        <v>153</v>
      </c>
      <c r="AE381" s="176">
        <f t="shared" si="872"/>
        <v>60</v>
      </c>
      <c r="AF381" s="971">
        <f t="shared" si="873"/>
        <v>429</v>
      </c>
      <c r="AG381" s="176">
        <f t="shared" si="873"/>
        <v>153</v>
      </c>
      <c r="AH381" s="176">
        <f t="shared" si="874"/>
        <v>1</v>
      </c>
      <c r="AI381" s="176">
        <f t="shared" si="874"/>
        <v>416</v>
      </c>
      <c r="AJ381" s="176">
        <f t="shared" si="874"/>
        <v>80</v>
      </c>
      <c r="AK381" s="971">
        <f t="shared" si="875"/>
        <v>650</v>
      </c>
      <c r="AL381" s="176">
        <f t="shared" si="875"/>
        <v>3</v>
      </c>
      <c r="AM381" s="176">
        <f t="shared" si="876"/>
        <v>90</v>
      </c>
      <c r="AN381" s="176">
        <f t="shared" si="876"/>
        <v>124</v>
      </c>
      <c r="AO381" s="176">
        <f t="shared" si="876"/>
        <v>17</v>
      </c>
      <c r="AP381" s="971">
        <f t="shared" si="903" ref="AP381:AQ381">AP330</f>
        <v>234</v>
      </c>
      <c r="AQ381" s="176">
        <f t="shared" si="903"/>
        <v>123</v>
      </c>
      <c r="AR381" s="176">
        <f t="shared" si="878"/>
        <v>1</v>
      </c>
      <c r="AS381" s="176">
        <f t="shared" si="878"/>
        <v>86</v>
      </c>
      <c r="AT381" s="176">
        <f t="shared" si="878"/>
        <v>54</v>
      </c>
      <c r="AU381" s="971">
        <f t="shared" si="904" ref="AU381:AV381">AU330</f>
        <v>264</v>
      </c>
      <c r="AV381" s="176">
        <f t="shared" si="904"/>
        <v>102</v>
      </c>
      <c r="AW381" s="176">
        <f t="shared" si="892"/>
        <v>296</v>
      </c>
      <c r="AX381" s="176">
        <f t="shared" si="881"/>
        <v>120</v>
      </c>
      <c r="AY381" s="176">
        <f t="shared" si="881"/>
        <v>52</v>
      </c>
      <c r="AZ381" s="971">
        <f t="shared" si="905" ref="AZ381:BA381">AZ330</f>
        <v>570</v>
      </c>
      <c r="BA381" s="176">
        <f t="shared" si="905"/>
        <v>126</v>
      </c>
      <c r="BB381" s="176">
        <f t="shared" si="883"/>
        <v>118</v>
      </c>
      <c r="BC381" s="176">
        <f t="shared" si="883"/>
        <v>109</v>
      </c>
      <c r="BD381" s="176">
        <f t="shared" si="884"/>
        <v>51</v>
      </c>
      <c r="BE381" s="971">
        <f t="shared" si="906" ref="BE381:BF381">BE330</f>
        <v>404</v>
      </c>
      <c r="BF381" s="176">
        <f t="shared" si="906"/>
        <v>267</v>
      </c>
      <c r="BG381" s="176">
        <f t="shared" si="886"/>
        <v>283</v>
      </c>
      <c r="BH381" s="551">
        <f t="shared" si="887"/>
        <v>152</v>
      </c>
      <c r="BI381" s="176"/>
      <c r="BJ381" s="971">
        <f t="shared" si="888"/>
        <v>702</v>
      </c>
      <c r="BK381" s="176"/>
      <c r="BL381" s="176"/>
      <c r="BM381" s="176"/>
      <c r="BN381" s="176"/>
      <c r="BO381" s="971">
        <f t="shared" si="889"/>
        <v>0</v>
      </c>
      <c r="BP381" s="971"/>
      <c r="BQ381" s="971"/>
      <c r="BR381" s="971"/>
      <c r="BS381" s="113"/>
    </row>
    <row r="382" spans="1:71" s="224" customFormat="1" ht="15">
      <c r="A382" s="362" t="str">
        <f t="shared" si="862"/>
        <v>Commercial mortgage and other loans</v>
      </c>
      <c r="B382" s="176"/>
      <c r="C382" s="971">
        <f t="shared" si="863"/>
        <v>0</v>
      </c>
      <c r="D382" s="971">
        <f t="shared" si="863"/>
        <v>0</v>
      </c>
      <c r="E382" s="971">
        <f t="shared" si="863"/>
        <v>0</v>
      </c>
      <c r="F382" s="971">
        <f t="shared" si="863"/>
        <v>0</v>
      </c>
      <c r="G382" s="971">
        <f t="shared" si="863"/>
        <v>0</v>
      </c>
      <c r="H382" s="176">
        <f t="shared" si="863"/>
        <v>0</v>
      </c>
      <c r="I382" s="176">
        <f t="shared" si="864"/>
        <v>0</v>
      </c>
      <c r="J382" s="176">
        <f t="shared" si="864"/>
        <v>0</v>
      </c>
      <c r="K382" s="176">
        <f t="shared" si="864"/>
        <v>0</v>
      </c>
      <c r="L382" s="971">
        <f t="shared" si="865"/>
        <v>0</v>
      </c>
      <c r="M382" s="176">
        <f t="shared" si="865"/>
        <v>0</v>
      </c>
      <c r="N382" s="176">
        <f t="shared" si="866"/>
        <v>0</v>
      </c>
      <c r="O382" s="176">
        <f t="shared" si="866"/>
        <v>0</v>
      </c>
      <c r="P382" s="176">
        <f t="shared" si="866"/>
        <v>0</v>
      </c>
      <c r="Q382" s="971">
        <f t="shared" si="867"/>
        <v>0</v>
      </c>
      <c r="R382" s="176">
        <f t="shared" si="867"/>
        <v>0</v>
      </c>
      <c r="S382" s="176">
        <f t="shared" si="868"/>
        <v>0</v>
      </c>
      <c r="T382" s="176">
        <f t="shared" si="868"/>
        <v>0</v>
      </c>
      <c r="U382" s="176">
        <f t="shared" si="868"/>
        <v>0</v>
      </c>
      <c r="V382" s="971">
        <f t="shared" si="869"/>
        <v>0</v>
      </c>
      <c r="W382" s="176">
        <f t="shared" si="869"/>
        <v>0</v>
      </c>
      <c r="X382" s="176">
        <f t="shared" si="870"/>
        <v>0</v>
      </c>
      <c r="Y382" s="176">
        <f t="shared" si="870"/>
        <v>0</v>
      </c>
      <c r="Z382" s="176">
        <f t="shared" si="870"/>
        <v>0</v>
      </c>
      <c r="AA382" s="971">
        <f t="shared" si="871"/>
        <v>0</v>
      </c>
      <c r="AB382" s="176">
        <f t="shared" si="871"/>
        <v>0</v>
      </c>
      <c r="AC382" s="176">
        <f t="shared" si="872"/>
        <v>0</v>
      </c>
      <c r="AD382" s="176">
        <f t="shared" si="872"/>
        <v>0</v>
      </c>
      <c r="AE382" s="176">
        <f t="shared" si="872"/>
        <v>0</v>
      </c>
      <c r="AF382" s="971">
        <f t="shared" si="873"/>
        <v>0</v>
      </c>
      <c r="AG382" s="176">
        <f t="shared" si="873"/>
        <v>0</v>
      </c>
      <c r="AH382" s="176">
        <f t="shared" si="874"/>
        <v>0</v>
      </c>
      <c r="AI382" s="176">
        <f t="shared" si="874"/>
        <v>0</v>
      </c>
      <c r="AJ382" s="176">
        <f t="shared" si="874"/>
        <v>0</v>
      </c>
      <c r="AK382" s="971">
        <f t="shared" si="875"/>
        <v>0</v>
      </c>
      <c r="AL382" s="176">
        <f t="shared" si="875"/>
        <v>-1379</v>
      </c>
      <c r="AM382" s="176">
        <f t="shared" si="876"/>
        <v>-44</v>
      </c>
      <c r="AN382" s="176">
        <f t="shared" si="876"/>
        <v>-16</v>
      </c>
      <c r="AO382" s="176">
        <f t="shared" si="876"/>
        <v>261</v>
      </c>
      <c r="AP382" s="971">
        <f t="shared" si="907" ref="AP382:AQ382">AP331</f>
        <v>-1178</v>
      </c>
      <c r="AQ382" s="176">
        <f t="shared" si="907"/>
        <v>-231</v>
      </c>
      <c r="AR382" s="176">
        <f t="shared" si="878"/>
        <v>-466</v>
      </c>
      <c r="AS382" s="176">
        <f t="shared" si="878"/>
        <v>-112</v>
      </c>
      <c r="AT382" s="176">
        <f t="shared" si="878"/>
        <v>-374</v>
      </c>
      <c r="AU382" s="971">
        <f t="shared" si="908" ref="AU382:AV382">AU331</f>
        <v>-1183</v>
      </c>
      <c r="AV382" s="176">
        <f t="shared" si="908"/>
        <v>-523</v>
      </c>
      <c r="AW382" s="176">
        <f t="shared" si="892"/>
        <v>-744</v>
      </c>
      <c r="AX382" s="176">
        <f t="shared" si="881"/>
        <v>-436</v>
      </c>
      <c r="AY382" s="176">
        <f t="shared" si="881"/>
        <v>-4</v>
      </c>
      <c r="AZ382" s="971">
        <f t="shared" si="909" ref="AZ382:BA382">AZ331</f>
        <v>-1707</v>
      </c>
      <c r="BA382" s="176">
        <f t="shared" si="909"/>
        <v>103</v>
      </c>
      <c r="BB382" s="176">
        <f t="shared" si="883"/>
        <v>37</v>
      </c>
      <c r="BC382" s="176">
        <f t="shared" si="883"/>
        <v>392</v>
      </c>
      <c r="BD382" s="176">
        <f t="shared" si="884"/>
        <v>113</v>
      </c>
      <c r="BE382" s="971">
        <f t="shared" si="910" ref="BE382:BF382">BE331</f>
        <v>645</v>
      </c>
      <c r="BF382" s="176">
        <f t="shared" si="910"/>
        <v>128</v>
      </c>
      <c r="BG382" s="176">
        <f t="shared" si="886"/>
        <v>312</v>
      </c>
      <c r="BH382" s="551">
        <f t="shared" si="887"/>
        <v>105</v>
      </c>
      <c r="BI382" s="176"/>
      <c r="BJ382" s="971">
        <f t="shared" si="888"/>
        <v>545</v>
      </c>
      <c r="BK382" s="176"/>
      <c r="BL382" s="176"/>
      <c r="BM382" s="176"/>
      <c r="BN382" s="176"/>
      <c r="BO382" s="971">
        <f t="shared" si="889"/>
        <v>0</v>
      </c>
      <c r="BP382" s="971"/>
      <c r="BQ382" s="971"/>
      <c r="BR382" s="971"/>
      <c r="BS382" s="113"/>
    </row>
    <row r="383" spans="1:71" s="224" customFormat="1" ht="15">
      <c r="A383" s="362" t="str">
        <f t="shared" si="862"/>
        <v>Fixed maturities matured or called, held to maturity</v>
      </c>
      <c r="B383" s="176"/>
      <c r="C383" s="971">
        <f t="shared" si="863"/>
        <v>212</v>
      </c>
      <c r="D383" s="971">
        <f t="shared" si="863"/>
        <v>196</v>
      </c>
      <c r="E383" s="971">
        <f t="shared" si="863"/>
        <v>728</v>
      </c>
      <c r="F383" s="971">
        <f t="shared" si="863"/>
        <v>1859</v>
      </c>
      <c r="G383" s="971">
        <f t="shared" si="863"/>
        <v>6515</v>
      </c>
      <c r="H383" s="176">
        <f t="shared" si="863"/>
        <v>4450</v>
      </c>
      <c r="I383" s="176">
        <f t="shared" si="864"/>
        <v>309</v>
      </c>
      <c r="J383" s="176">
        <f t="shared" si="864"/>
        <v>3697</v>
      </c>
      <c r="K383" s="176">
        <f t="shared" si="864"/>
        <v>19</v>
      </c>
      <c r="L383" s="971">
        <f t="shared" si="865"/>
        <v>8475</v>
      </c>
      <c r="M383" s="176">
        <f t="shared" si="865"/>
        <v>85</v>
      </c>
      <c r="N383" s="176">
        <f t="shared" si="866"/>
        <v>335</v>
      </c>
      <c r="O383" s="176">
        <f t="shared" si="866"/>
        <v>258</v>
      </c>
      <c r="P383" s="176">
        <f t="shared" si="866"/>
        <v>88</v>
      </c>
      <c r="Q383" s="971">
        <f t="shared" si="867"/>
        <v>766</v>
      </c>
      <c r="R383" s="176">
        <f t="shared" si="867"/>
        <v>277</v>
      </c>
      <c r="S383" s="176">
        <f t="shared" si="868"/>
        <v>459</v>
      </c>
      <c r="T383" s="176">
        <f t="shared" si="868"/>
        <v>210</v>
      </c>
      <c r="U383" s="176">
        <f t="shared" si="868"/>
        <v>453</v>
      </c>
      <c r="V383" s="971">
        <f t="shared" si="869"/>
        <v>1399</v>
      </c>
      <c r="W383" s="176">
        <f t="shared" si="869"/>
        <v>228</v>
      </c>
      <c r="X383" s="176">
        <f t="shared" si="870"/>
        <v>1083</v>
      </c>
      <c r="Y383" s="176">
        <f t="shared" si="870"/>
        <v>403</v>
      </c>
      <c r="Z383" s="176">
        <f t="shared" si="870"/>
        <v>498</v>
      </c>
      <c r="AA383" s="971">
        <f t="shared" si="871"/>
        <v>2212</v>
      </c>
      <c r="AB383" s="176">
        <f t="shared" si="871"/>
        <v>50</v>
      </c>
      <c r="AC383" s="176">
        <f t="shared" si="872"/>
        <v>828</v>
      </c>
      <c r="AD383" s="176">
        <f t="shared" si="872"/>
        <v>2</v>
      </c>
      <c r="AE383" s="176">
        <f t="shared" si="872"/>
        <v>790</v>
      </c>
      <c r="AF383" s="971">
        <f t="shared" si="873"/>
        <v>1670</v>
      </c>
      <c r="AG383" s="176">
        <f t="shared" si="873"/>
        <v>155</v>
      </c>
      <c r="AH383" s="176">
        <f t="shared" si="874"/>
        <v>48</v>
      </c>
      <c r="AI383" s="176">
        <f t="shared" si="874"/>
        <v>234</v>
      </c>
      <c r="AJ383" s="176">
        <f t="shared" si="874"/>
        <v>185</v>
      </c>
      <c r="AK383" s="971">
        <f t="shared" si="875"/>
        <v>622</v>
      </c>
      <c r="AL383" s="176">
        <f t="shared" si="875"/>
        <v>0</v>
      </c>
      <c r="AM383" s="176">
        <f t="shared" si="876"/>
        <v>2</v>
      </c>
      <c r="AN383" s="176">
        <f t="shared" si="876"/>
        <v>1</v>
      </c>
      <c r="AO383" s="176">
        <f t="shared" si="876"/>
        <v>1</v>
      </c>
      <c r="AP383" s="971">
        <f t="shared" si="911" ref="AP383:AQ383">AP332</f>
        <v>4</v>
      </c>
      <c r="AQ383" s="176">
        <f t="shared" si="911"/>
        <v>0</v>
      </c>
      <c r="AR383" s="176">
        <f t="shared" si="878"/>
        <v>2</v>
      </c>
      <c r="AS383" s="176">
        <f t="shared" si="878"/>
        <v>0</v>
      </c>
      <c r="AT383" s="176">
        <f t="shared" si="878"/>
        <v>2</v>
      </c>
      <c r="AU383" s="971">
        <f t="shared" si="912" ref="AU383:AV383">AU332</f>
        <v>4</v>
      </c>
      <c r="AV383" s="176">
        <f t="shared" si="912"/>
        <v>0</v>
      </c>
      <c r="AW383" s="176">
        <f t="shared" si="892"/>
        <v>2</v>
      </c>
      <c r="AX383" s="176">
        <f t="shared" si="881"/>
        <v>0</v>
      </c>
      <c r="AY383" s="176">
        <f t="shared" si="881"/>
        <v>1</v>
      </c>
      <c r="AZ383" s="971">
        <f t="shared" si="913" ref="AZ383:BA383">AZ332</f>
        <v>3</v>
      </c>
      <c r="BA383" s="176">
        <f t="shared" si="913"/>
        <v>0</v>
      </c>
      <c r="BB383" s="176">
        <f t="shared" si="883"/>
        <v>2</v>
      </c>
      <c r="BC383" s="176">
        <f t="shared" si="883"/>
        <v>0</v>
      </c>
      <c r="BD383" s="176">
        <f t="shared" si="884"/>
        <v>1</v>
      </c>
      <c r="BE383" s="971">
        <f t="shared" si="914" ref="BE383:BF383">BE332</f>
        <v>3</v>
      </c>
      <c r="BF383" s="176">
        <f t="shared" si="914"/>
        <v>0</v>
      </c>
      <c r="BG383" s="176">
        <f t="shared" si="886"/>
        <v>0</v>
      </c>
      <c r="BH383" s="551">
        <f t="shared" si="887"/>
        <v>2</v>
      </c>
      <c r="BI383" s="176"/>
      <c r="BJ383" s="971">
        <f t="shared" si="888"/>
        <v>2</v>
      </c>
      <c r="BK383" s="176"/>
      <c r="BL383" s="176"/>
      <c r="BM383" s="176"/>
      <c r="BN383" s="176"/>
      <c r="BO383" s="971">
        <f t="shared" si="889"/>
        <v>0</v>
      </c>
      <c r="BP383" s="971"/>
      <c r="BQ383" s="971"/>
      <c r="BR383" s="971"/>
      <c r="BS383" s="113"/>
    </row>
    <row r="384" spans="1:71" s="224" customFormat="1" ht="15">
      <c r="A384" s="362" t="str">
        <f t="shared" si="862"/>
        <v>Available for sale fixed maturities acquired</v>
      </c>
      <c r="B384" s="176"/>
      <c r="C384" s="971">
        <f t="shared" si="863"/>
        <v>-7521</v>
      </c>
      <c r="D384" s="971">
        <f t="shared" si="863"/>
        <v>-9943</v>
      </c>
      <c r="E384" s="971">
        <f t="shared" si="863"/>
        <v>-8392</v>
      </c>
      <c r="F384" s="971">
        <f t="shared" si="863"/>
        <v>-19533</v>
      </c>
      <c r="G384" s="971">
        <f t="shared" si="863"/>
        <v>-22967</v>
      </c>
      <c r="H384" s="176">
        <f t="shared" si="863"/>
        <v>-4597</v>
      </c>
      <c r="I384" s="176">
        <f t="shared" si="864"/>
        <v>-2403</v>
      </c>
      <c r="J384" s="176">
        <f t="shared" si="864"/>
        <v>-1959</v>
      </c>
      <c r="K384" s="176">
        <f t="shared" si="864"/>
        <v>-2019</v>
      </c>
      <c r="L384" s="971">
        <f t="shared" si="865"/>
        <v>-10978</v>
      </c>
      <c r="M384" s="176">
        <f t="shared" si="865"/>
        <v>-1442</v>
      </c>
      <c r="N384" s="176">
        <f t="shared" si="866"/>
        <v>-1562</v>
      </c>
      <c r="O384" s="176">
        <f t="shared" si="866"/>
        <v>-915</v>
      </c>
      <c r="P384" s="176">
        <f t="shared" si="866"/>
        <v>-2588</v>
      </c>
      <c r="Q384" s="971">
        <f t="shared" si="867"/>
        <v>-6507</v>
      </c>
      <c r="R384" s="176">
        <f t="shared" si="867"/>
        <v>-1911</v>
      </c>
      <c r="S384" s="176">
        <f t="shared" si="868"/>
        <v>-1916</v>
      </c>
      <c r="T384" s="176">
        <f t="shared" si="868"/>
        <v>-1044</v>
      </c>
      <c r="U384" s="176">
        <f t="shared" si="868"/>
        <v>-6019</v>
      </c>
      <c r="V384" s="971">
        <f t="shared" si="869"/>
        <v>-10890</v>
      </c>
      <c r="W384" s="176">
        <f t="shared" si="869"/>
        <v>-3726</v>
      </c>
      <c r="X384" s="176">
        <f t="shared" si="870"/>
        <v>-1936</v>
      </c>
      <c r="Y384" s="176">
        <f t="shared" si="870"/>
        <v>-1165</v>
      </c>
      <c r="Z384" s="176">
        <f t="shared" si="870"/>
        <v>-3040</v>
      </c>
      <c r="AA384" s="971">
        <f t="shared" si="871"/>
        <v>-9867</v>
      </c>
      <c r="AB384" s="176">
        <f t="shared" si="871"/>
        <v>-3975</v>
      </c>
      <c r="AC384" s="176">
        <f t="shared" si="872"/>
        <v>-2823</v>
      </c>
      <c r="AD384" s="176">
        <f t="shared" si="872"/>
        <v>-1047</v>
      </c>
      <c r="AE384" s="176">
        <f t="shared" si="872"/>
        <v>-1241</v>
      </c>
      <c r="AF384" s="971">
        <f t="shared" si="873"/>
        <v>-9086</v>
      </c>
      <c r="AG384" s="176">
        <f t="shared" si="873"/>
        <v>-2548</v>
      </c>
      <c r="AH384" s="176">
        <f t="shared" si="874"/>
        <v>-1804</v>
      </c>
      <c r="AI384" s="176">
        <f t="shared" si="874"/>
        <v>-1556</v>
      </c>
      <c r="AJ384" s="176">
        <f t="shared" si="874"/>
        <v>-1026</v>
      </c>
      <c r="AK384" s="971">
        <f t="shared" si="875"/>
        <v>-6934</v>
      </c>
      <c r="AL384" s="176">
        <f t="shared" si="875"/>
        <v>-1817</v>
      </c>
      <c r="AM384" s="176">
        <f t="shared" si="876"/>
        <v>-874</v>
      </c>
      <c r="AN384" s="176">
        <f t="shared" si="876"/>
        <v>-1019</v>
      </c>
      <c r="AO384" s="176">
        <f t="shared" si="876"/>
        <v>-1062</v>
      </c>
      <c r="AP384" s="971">
        <f t="shared" si="915" ref="AP384:AQ384">AP333</f>
        <v>-4772</v>
      </c>
      <c r="AQ384" s="176">
        <f t="shared" si="915"/>
        <v>-2475</v>
      </c>
      <c r="AR384" s="176">
        <f t="shared" si="878"/>
        <v>-890</v>
      </c>
      <c r="AS384" s="176">
        <f t="shared" si="878"/>
        <v>-822</v>
      </c>
      <c r="AT384" s="176">
        <f t="shared" si="878"/>
        <v>-1626</v>
      </c>
      <c r="AU384" s="971">
        <f t="shared" si="916" ref="AU384:AV384">AU333</f>
        <v>-5813</v>
      </c>
      <c r="AV384" s="176">
        <f t="shared" si="916"/>
        <v>-707</v>
      </c>
      <c r="AW384" s="176">
        <f t="shared" si="892"/>
        <v>-1688</v>
      </c>
      <c r="AX384" s="176">
        <f t="shared" si="881"/>
        <v>-566</v>
      </c>
      <c r="AY384" s="176">
        <f t="shared" si="881"/>
        <v>-553</v>
      </c>
      <c r="AZ384" s="971">
        <f t="shared" si="917" ref="AZ384:BA384">AZ333</f>
        <v>-3514</v>
      </c>
      <c r="BA384" s="176">
        <f t="shared" si="917"/>
        <v>-1090</v>
      </c>
      <c r="BB384" s="176">
        <f t="shared" si="883"/>
        <v>-727</v>
      </c>
      <c r="BC384" s="176">
        <f t="shared" si="883"/>
        <v>-542</v>
      </c>
      <c r="BD384" s="176">
        <f t="shared" si="884"/>
        <v>-442</v>
      </c>
      <c r="BE384" s="971">
        <f t="shared" si="918" ref="BE384:BF384">BE333</f>
        <v>-2801</v>
      </c>
      <c r="BF384" s="176">
        <f t="shared" si="918"/>
        <v>-2127</v>
      </c>
      <c r="BG384" s="176">
        <f t="shared" si="886"/>
        <v>-1230</v>
      </c>
      <c r="BH384" s="551">
        <f t="shared" si="887"/>
        <v>-1232</v>
      </c>
      <c r="BI384" s="176">
        <f>-MAX(0,BI64-BH64)</f>
        <v>-2071.2500000000146</v>
      </c>
      <c r="BJ384" s="971">
        <f t="shared" si="888"/>
        <v>-6660.2500000000146</v>
      </c>
      <c r="BK384" s="176">
        <f>-MAX(0,BK64-BJ64)</f>
        <v>0</v>
      </c>
      <c r="BL384" s="176">
        <f>-MAX(0,BL64-BK64)</f>
        <v>0</v>
      </c>
      <c r="BM384" s="176">
        <f>-MAX(0,BM64-BL64)</f>
        <v>-8006.2500000000146</v>
      </c>
      <c r="BN384" s="176">
        <f>-MAX(0,BN64-BM64)</f>
        <v>-2121.655500000008</v>
      </c>
      <c r="BO384" s="971">
        <f t="shared" si="889"/>
        <v>-10127.905500000023</v>
      </c>
      <c r="BP384" s="971">
        <f>-MAX(0,BP64-BO64)</f>
        <v>-1788.1883550000057</v>
      </c>
      <c r="BQ384" s="971">
        <f>-MAX(0,BQ64-BP64)</f>
        <v>-1841.4979735500092</v>
      </c>
      <c r="BR384" s="971">
        <f>-MAX(0,BR64-BQ64)</f>
        <v>-1897.1120750354894</v>
      </c>
      <c r="BS384" s="113"/>
    </row>
    <row r="385" spans="1:71" s="224" customFormat="1" ht="15">
      <c r="A385" s="362" t="str">
        <f t="shared" si="862"/>
        <v>Available for sale equity securities acquired</v>
      </c>
      <c r="B385" s="176"/>
      <c r="C385" s="971">
        <f t="shared" si="863"/>
        <v>-2</v>
      </c>
      <c r="D385" s="971">
        <f t="shared" si="863"/>
        <v>-330</v>
      </c>
      <c r="E385" s="971">
        <f t="shared" si="863"/>
        <v>0</v>
      </c>
      <c r="F385" s="971">
        <f t="shared" si="863"/>
        <v>0</v>
      </c>
      <c r="G385" s="971">
        <f t="shared" si="863"/>
        <v>0</v>
      </c>
      <c r="H385" s="176">
        <f t="shared" si="863"/>
        <v>0</v>
      </c>
      <c r="I385" s="176">
        <f t="shared" si="864"/>
        <v>0</v>
      </c>
      <c r="J385" s="176">
        <f t="shared" si="864"/>
        <v>0</v>
      </c>
      <c r="K385" s="176">
        <f t="shared" si="864"/>
        <v>-5</v>
      </c>
      <c r="L385" s="971">
        <f t="shared" si="865"/>
        <v>-5</v>
      </c>
      <c r="M385" s="176">
        <f t="shared" si="865"/>
        <v>0</v>
      </c>
      <c r="N385" s="176">
        <f t="shared" si="866"/>
        <v>0</v>
      </c>
      <c r="O385" s="176">
        <f t="shared" si="866"/>
        <v>-67</v>
      </c>
      <c r="P385" s="176">
        <f t="shared" si="866"/>
        <v>-387</v>
      </c>
      <c r="Q385" s="971">
        <f t="shared" si="867"/>
        <v>-454</v>
      </c>
      <c r="R385" s="176">
        <f t="shared" si="867"/>
        <v>-364</v>
      </c>
      <c r="S385" s="176">
        <f t="shared" si="868"/>
        <v>-327</v>
      </c>
      <c r="T385" s="176">
        <f t="shared" si="868"/>
        <v>-177</v>
      </c>
      <c r="U385" s="176">
        <f t="shared" si="868"/>
        <v>-211</v>
      </c>
      <c r="V385" s="971">
        <f t="shared" si="869"/>
        <v>-1079</v>
      </c>
      <c r="W385" s="176">
        <f t="shared" si="869"/>
        <v>-157</v>
      </c>
      <c r="X385" s="176">
        <f t="shared" si="870"/>
        <v>-21</v>
      </c>
      <c r="Y385" s="176">
        <f t="shared" si="870"/>
        <v>-213</v>
      </c>
      <c r="Z385" s="176">
        <f t="shared" si="870"/>
        <v>-55</v>
      </c>
      <c r="AA385" s="971">
        <f t="shared" si="871"/>
        <v>-446</v>
      </c>
      <c r="AB385" s="176">
        <f t="shared" si="871"/>
        <v>-166</v>
      </c>
      <c r="AC385" s="176">
        <f t="shared" si="872"/>
        <v>-67</v>
      </c>
      <c r="AD385" s="176">
        <f t="shared" si="872"/>
        <v>-105</v>
      </c>
      <c r="AE385" s="176">
        <f t="shared" si="872"/>
        <v>-102</v>
      </c>
      <c r="AF385" s="971">
        <f t="shared" si="873"/>
        <v>-440</v>
      </c>
      <c r="AG385" s="176">
        <f t="shared" si="873"/>
        <v>-151</v>
      </c>
      <c r="AH385" s="176">
        <f t="shared" si="874"/>
        <v>-30</v>
      </c>
      <c r="AI385" s="176">
        <f t="shared" si="874"/>
        <v>-140</v>
      </c>
      <c r="AJ385" s="176">
        <f t="shared" si="874"/>
        <v>-26</v>
      </c>
      <c r="AK385" s="971">
        <f t="shared" si="875"/>
        <v>-347</v>
      </c>
      <c r="AL385" s="176">
        <f t="shared" si="875"/>
        <v>-6</v>
      </c>
      <c r="AM385" s="176">
        <f t="shared" si="876"/>
        <v>-144</v>
      </c>
      <c r="AN385" s="176">
        <f t="shared" si="876"/>
        <v>-125</v>
      </c>
      <c r="AO385" s="176">
        <f t="shared" si="876"/>
        <v>-223</v>
      </c>
      <c r="AP385" s="971">
        <f t="shared" si="919" ref="AP385:AQ385">AP334</f>
        <v>-498</v>
      </c>
      <c r="AQ385" s="176">
        <f t="shared" si="919"/>
        <v>-126</v>
      </c>
      <c r="AR385" s="176">
        <f t="shared" si="878"/>
        <v>-132</v>
      </c>
      <c r="AS385" s="176">
        <f t="shared" si="878"/>
        <v>-200</v>
      </c>
      <c r="AT385" s="176">
        <f t="shared" si="878"/>
        <v>-34</v>
      </c>
      <c r="AU385" s="971">
        <f t="shared" si="920" ref="AU385:AV385">AU334</f>
        <v>-492</v>
      </c>
      <c r="AV385" s="176">
        <f t="shared" si="920"/>
        <v>-114</v>
      </c>
      <c r="AW385" s="176">
        <f t="shared" si="892"/>
        <v>-206</v>
      </c>
      <c r="AX385" s="176">
        <f t="shared" si="881"/>
        <v>-94</v>
      </c>
      <c r="AY385" s="176">
        <f t="shared" si="881"/>
        <v>-47</v>
      </c>
      <c r="AZ385" s="971">
        <f t="shared" si="921" ref="AZ385:BA385">AZ334</f>
        <v>-461</v>
      </c>
      <c r="BA385" s="176">
        <f t="shared" si="921"/>
        <v>-134</v>
      </c>
      <c r="BB385" s="176">
        <f t="shared" si="883"/>
        <v>-57</v>
      </c>
      <c r="BC385" s="176">
        <f t="shared" si="883"/>
        <v>-108</v>
      </c>
      <c r="BD385" s="176">
        <f t="shared" si="884"/>
        <v>-58</v>
      </c>
      <c r="BE385" s="971">
        <f t="shared" si="922" ref="BE385:BF385">BE334</f>
        <v>-357</v>
      </c>
      <c r="BF385" s="176">
        <f t="shared" si="922"/>
        <v>-73</v>
      </c>
      <c r="BG385" s="176">
        <f t="shared" si="886"/>
        <v>-106</v>
      </c>
      <c r="BH385" s="551">
        <f t="shared" si="887"/>
        <v>-154</v>
      </c>
      <c r="BI385" s="176"/>
      <c r="BJ385" s="971">
        <f t="shared" si="888"/>
        <v>-333</v>
      </c>
      <c r="BK385" s="176"/>
      <c r="BL385" s="176"/>
      <c r="BM385" s="176"/>
      <c r="BN385" s="176"/>
      <c r="BO385" s="971">
        <f t="shared" si="889"/>
        <v>0</v>
      </c>
      <c r="BP385" s="971"/>
      <c r="BQ385" s="971"/>
      <c r="BR385" s="971"/>
      <c r="BS385" s="113"/>
    </row>
    <row r="386" spans="1:71" s="224" customFormat="1" ht="15">
      <c r="A386" s="362" t="str">
        <f t="shared" si="862"/>
        <v>Held to maturity fixed maturities acquired</v>
      </c>
      <c r="B386" s="176"/>
      <c r="C386" s="971">
        <f t="shared" si="863"/>
        <v>-4167</v>
      </c>
      <c r="D386" s="971">
        <f t="shared" si="863"/>
        <v>-2010</v>
      </c>
      <c r="E386" s="971">
        <f t="shared" si="863"/>
        <v>-18995</v>
      </c>
      <c r="F386" s="971">
        <f t="shared" si="863"/>
        <v>-16550</v>
      </c>
      <c r="G386" s="971">
        <f t="shared" si="863"/>
        <v>-6756</v>
      </c>
      <c r="H386" s="176">
        <f t="shared" si="863"/>
        <v>0</v>
      </c>
      <c r="I386" s="176">
        <f t="shared" si="864"/>
        <v>0</v>
      </c>
      <c r="J386" s="176">
        <f t="shared" si="864"/>
        <v>-3564</v>
      </c>
      <c r="K386" s="176">
        <f t="shared" si="864"/>
        <v>0</v>
      </c>
      <c r="L386" s="971">
        <f t="shared" si="865"/>
        <v>-3564</v>
      </c>
      <c r="M386" s="176">
        <f t="shared" si="865"/>
        <v>0</v>
      </c>
      <c r="N386" s="176">
        <f t="shared" si="866"/>
        <v>0</v>
      </c>
      <c r="O386" s="176">
        <f t="shared" si="866"/>
        <v>0</v>
      </c>
      <c r="P386" s="176">
        <f t="shared" si="866"/>
        <v>0</v>
      </c>
      <c r="Q386" s="971">
        <f t="shared" si="867"/>
        <v>0</v>
      </c>
      <c r="R386" s="176">
        <f t="shared" si="867"/>
        <v>0</v>
      </c>
      <c r="S386" s="176">
        <f t="shared" si="868"/>
        <v>0</v>
      </c>
      <c r="T386" s="176">
        <f t="shared" si="868"/>
        <v>0</v>
      </c>
      <c r="U386" s="176">
        <f t="shared" si="868"/>
        <v>0</v>
      </c>
      <c r="V386" s="971">
        <f t="shared" si="869"/>
        <v>0</v>
      </c>
      <c r="W386" s="176">
        <f t="shared" si="869"/>
        <v>0</v>
      </c>
      <c r="X386" s="176">
        <f t="shared" si="870"/>
        <v>0</v>
      </c>
      <c r="Y386" s="176">
        <f t="shared" si="870"/>
        <v>0</v>
      </c>
      <c r="Z386" s="176">
        <f t="shared" si="870"/>
        <v>0</v>
      </c>
      <c r="AA386" s="971">
        <f t="shared" si="871"/>
        <v>0</v>
      </c>
      <c r="AB386" s="176">
        <f t="shared" si="871"/>
        <v>0</v>
      </c>
      <c r="AC386" s="176">
        <f t="shared" si="872"/>
        <v>0</v>
      </c>
      <c r="AD386" s="176">
        <f t="shared" si="872"/>
        <v>0</v>
      </c>
      <c r="AE386" s="176">
        <f t="shared" si="872"/>
        <v>0</v>
      </c>
      <c r="AF386" s="971">
        <f t="shared" si="873"/>
        <v>0</v>
      </c>
      <c r="AG386" s="176">
        <f t="shared" si="873"/>
        <v>0</v>
      </c>
      <c r="AH386" s="176">
        <f t="shared" si="874"/>
        <v>0</v>
      </c>
      <c r="AI386" s="176">
        <f t="shared" si="874"/>
        <v>0</v>
      </c>
      <c r="AJ386" s="176">
        <f t="shared" si="874"/>
        <v>0</v>
      </c>
      <c r="AK386" s="971">
        <f t="shared" si="875"/>
        <v>0</v>
      </c>
      <c r="AL386" s="176">
        <f t="shared" si="875"/>
        <v>0</v>
      </c>
      <c r="AM386" s="176">
        <f t="shared" si="876"/>
        <v>0</v>
      </c>
      <c r="AN386" s="176">
        <f t="shared" si="876"/>
        <v>0</v>
      </c>
      <c r="AO386" s="176">
        <f t="shared" si="876"/>
        <v>0</v>
      </c>
      <c r="AP386" s="971">
        <f t="shared" si="923" ref="AP386:AQ386">AP335</f>
        <v>0</v>
      </c>
      <c r="AQ386" s="176">
        <f t="shared" si="923"/>
        <v>0</v>
      </c>
      <c r="AR386" s="176">
        <f t="shared" si="878"/>
        <v>0</v>
      </c>
      <c r="AS386" s="176">
        <f t="shared" si="878"/>
        <v>0</v>
      </c>
      <c r="AT386" s="176">
        <f t="shared" si="878"/>
        <v>0</v>
      </c>
      <c r="AU386" s="971">
        <f t="shared" si="924" ref="AU386:AV386">AU335</f>
        <v>0</v>
      </c>
      <c r="AV386" s="176">
        <f t="shared" si="924"/>
        <v>0</v>
      </c>
      <c r="AW386" s="176">
        <f t="shared" si="892"/>
        <v>0</v>
      </c>
      <c r="AX386" s="176">
        <f t="shared" si="881"/>
        <v>0</v>
      </c>
      <c r="AY386" s="176">
        <f t="shared" si="881"/>
        <v>0</v>
      </c>
      <c r="AZ386" s="971">
        <f t="shared" si="925" ref="AZ386:BA386">AZ335</f>
        <v>0</v>
      </c>
      <c r="BA386" s="176">
        <f t="shared" si="925"/>
        <v>0</v>
      </c>
      <c r="BB386" s="176">
        <f t="shared" si="883"/>
        <v>0</v>
      </c>
      <c r="BC386" s="176">
        <f t="shared" si="883"/>
        <v>0</v>
      </c>
      <c r="BD386" s="176">
        <f t="shared" si="884"/>
        <v>0</v>
      </c>
      <c r="BE386" s="971">
        <f t="shared" si="926" ref="BE386:BF386">BE335</f>
        <v>0</v>
      </c>
      <c r="BF386" s="176">
        <f t="shared" si="926"/>
        <v>0</v>
      </c>
      <c r="BG386" s="176">
        <f t="shared" si="886"/>
        <v>1</v>
      </c>
      <c r="BH386" s="551">
        <f t="shared" si="887"/>
        <v>-1</v>
      </c>
      <c r="BI386" s="176"/>
      <c r="BJ386" s="971">
        <f t="shared" si="888"/>
        <v>0</v>
      </c>
      <c r="BK386" s="176"/>
      <c r="BL386" s="176"/>
      <c r="BM386" s="176"/>
      <c r="BN386" s="176"/>
      <c r="BO386" s="971">
        <f t="shared" si="889"/>
        <v>0</v>
      </c>
      <c r="BP386" s="971"/>
      <c r="BQ386" s="971"/>
      <c r="BR386" s="971"/>
      <c r="BS386" s="113"/>
    </row>
    <row r="387" spans="1:71" s="224" customFormat="1" ht="15">
      <c r="A387" s="362" t="str">
        <f t="shared" si="862"/>
        <v>Cash received as collateral on loaned securities, net</v>
      </c>
      <c r="B387" s="176"/>
      <c r="C387" s="971">
        <f t="shared" si="927" ref="C387:H392">C336</f>
        <v>-1214</v>
      </c>
      <c r="D387" s="971">
        <f t="shared" si="927"/>
        <v>-312</v>
      </c>
      <c r="E387" s="971">
        <f t="shared" si="927"/>
        <v>647</v>
      </c>
      <c r="F387" s="971">
        <f t="shared" si="927"/>
        <v>0</v>
      </c>
      <c r="G387" s="971">
        <f t="shared" si="927"/>
        <v>0</v>
      </c>
      <c r="H387" s="176">
        <f t="shared" si="927"/>
        <v>0</v>
      </c>
      <c r="I387" s="176">
        <f t="shared" si="864"/>
        <v>0</v>
      </c>
      <c r="J387" s="176">
        <f t="shared" si="864"/>
        <v>0</v>
      </c>
      <c r="K387" s="176">
        <f t="shared" si="864"/>
        <v>0</v>
      </c>
      <c r="L387" s="971">
        <f t="shared" si="865"/>
        <v>0</v>
      </c>
      <c r="M387" s="176">
        <f t="shared" si="865"/>
        <v>0</v>
      </c>
      <c r="N387" s="176">
        <f t="shared" si="866"/>
        <v>0</v>
      </c>
      <c r="O387" s="176">
        <f t="shared" si="866"/>
        <v>0</v>
      </c>
      <c r="P387" s="176">
        <f t="shared" si="866"/>
        <v>0</v>
      </c>
      <c r="Q387" s="971">
        <f t="shared" si="867"/>
        <v>0</v>
      </c>
      <c r="R387" s="176">
        <f t="shared" si="867"/>
        <v>0</v>
      </c>
      <c r="S387" s="176">
        <f t="shared" si="868"/>
        <v>0</v>
      </c>
      <c r="T387" s="176">
        <f t="shared" si="868"/>
        <v>0</v>
      </c>
      <c r="U387" s="176">
        <f t="shared" si="868"/>
        <v>0</v>
      </c>
      <c r="V387" s="971">
        <f t="shared" si="869"/>
        <v>0</v>
      </c>
      <c r="W387" s="176">
        <f t="shared" si="869"/>
        <v>0</v>
      </c>
      <c r="X387" s="176">
        <f t="shared" si="870"/>
        <v>0</v>
      </c>
      <c r="Y387" s="176">
        <f t="shared" si="870"/>
        <v>0</v>
      </c>
      <c r="Z387" s="176">
        <f t="shared" si="870"/>
        <v>0</v>
      </c>
      <c r="AA387" s="971">
        <f t="shared" si="871"/>
        <v>0</v>
      </c>
      <c r="AB387" s="176">
        <f t="shared" si="871"/>
        <v>0</v>
      </c>
      <c r="AC387" s="176">
        <f t="shared" si="872"/>
        <v>0</v>
      </c>
      <c r="AD387" s="176">
        <f t="shared" si="872"/>
        <v>0</v>
      </c>
      <c r="AE387" s="176">
        <f t="shared" si="872"/>
        <v>0</v>
      </c>
      <c r="AF387" s="971">
        <f t="shared" si="873"/>
        <v>0</v>
      </c>
      <c r="AG387" s="176">
        <f t="shared" si="873"/>
        <v>0</v>
      </c>
      <c r="AH387" s="176">
        <f t="shared" si="874"/>
        <v>0</v>
      </c>
      <c r="AI387" s="176">
        <f t="shared" si="874"/>
        <v>0</v>
      </c>
      <c r="AJ387" s="176">
        <f t="shared" si="874"/>
        <v>0</v>
      </c>
      <c r="AK387" s="971">
        <f t="shared" si="875"/>
        <v>0</v>
      </c>
      <c r="AL387" s="176">
        <f t="shared" si="875"/>
        <v>0</v>
      </c>
      <c r="AM387" s="176">
        <f t="shared" si="876"/>
        <v>0</v>
      </c>
      <c r="AN387" s="176">
        <f t="shared" si="876"/>
        <v>0</v>
      </c>
      <c r="AO387" s="176">
        <f t="shared" si="876"/>
        <v>0</v>
      </c>
      <c r="AP387" s="971">
        <f t="shared" si="928" ref="AP387:AQ387">AP336</f>
        <v>0</v>
      </c>
      <c r="AQ387" s="176">
        <f t="shared" si="928"/>
        <v>0</v>
      </c>
      <c r="AR387" s="176">
        <f t="shared" si="878"/>
        <v>0</v>
      </c>
      <c r="AS387" s="176">
        <f t="shared" si="878"/>
        <v>0</v>
      </c>
      <c r="AT387" s="176">
        <f t="shared" si="878"/>
        <v>0</v>
      </c>
      <c r="AU387" s="971">
        <f t="shared" si="929" ref="AU387:AV387">AU336</f>
        <v>0</v>
      </c>
      <c r="AV387" s="176">
        <f t="shared" si="929"/>
        <v>0</v>
      </c>
      <c r="AW387" s="176">
        <f t="shared" si="892"/>
        <v>0</v>
      </c>
      <c r="AX387" s="176">
        <f t="shared" si="881"/>
        <v>0</v>
      </c>
      <c r="AY387" s="176">
        <f t="shared" si="881"/>
        <v>0</v>
      </c>
      <c r="AZ387" s="971">
        <f t="shared" si="930" ref="AZ387:BA387">AZ336</f>
        <v>0</v>
      </c>
      <c r="BA387" s="176">
        <f t="shared" si="930"/>
        <v>0</v>
      </c>
      <c r="BB387" s="176">
        <f t="shared" si="883"/>
        <v>0</v>
      </c>
      <c r="BC387" s="176">
        <f t="shared" si="883"/>
        <v>0</v>
      </c>
      <c r="BD387" s="176">
        <f t="shared" si="884"/>
        <v>0</v>
      </c>
      <c r="BE387" s="971">
        <f t="shared" si="931" ref="BE387:BF387">BE336</f>
        <v>0</v>
      </c>
      <c r="BF387" s="176">
        <f t="shared" si="931"/>
        <v>0</v>
      </c>
      <c r="BG387" s="176">
        <f t="shared" si="886"/>
        <v>0</v>
      </c>
      <c r="BH387" s="551">
        <f t="shared" si="887"/>
        <v>0</v>
      </c>
      <c r="BI387" s="176"/>
      <c r="BJ387" s="971">
        <f t="shared" si="888"/>
        <v>0</v>
      </c>
      <c r="BK387" s="176"/>
      <c r="BL387" s="176"/>
      <c r="BM387" s="176"/>
      <c r="BN387" s="176"/>
      <c r="BO387" s="971">
        <f t="shared" si="889"/>
        <v>0</v>
      </c>
      <c r="BP387" s="971"/>
      <c r="BQ387" s="971"/>
      <c r="BR387" s="971"/>
      <c r="BS387" s="113"/>
    </row>
    <row r="388" spans="1:71" s="224" customFormat="1" ht="15">
      <c r="A388" s="362" t="str">
        <f t="shared" si="862"/>
        <v>Other investments, net</v>
      </c>
      <c r="B388" s="176"/>
      <c r="C388" s="971">
        <f t="shared" si="927"/>
        <v>0</v>
      </c>
      <c r="D388" s="971">
        <f t="shared" si="927"/>
        <v>0</v>
      </c>
      <c r="E388" s="971">
        <f t="shared" si="927"/>
        <v>0</v>
      </c>
      <c r="F388" s="971">
        <f t="shared" si="927"/>
        <v>0</v>
      </c>
      <c r="G388" s="971">
        <f t="shared" si="927"/>
        <v>-319</v>
      </c>
      <c r="H388" s="176">
        <f t="shared" si="927"/>
        <v>143</v>
      </c>
      <c r="I388" s="176">
        <f t="shared" si="864"/>
        <v>-2</v>
      </c>
      <c r="J388" s="176">
        <f t="shared" si="864"/>
        <v>-3831</v>
      </c>
      <c r="K388" s="176">
        <f t="shared" si="864"/>
        <v>3962</v>
      </c>
      <c r="L388" s="971">
        <f t="shared" si="865"/>
        <v>272</v>
      </c>
      <c r="M388" s="176">
        <f t="shared" si="865"/>
        <v>-7</v>
      </c>
      <c r="N388" s="176">
        <f t="shared" si="866"/>
        <v>-24</v>
      </c>
      <c r="O388" s="176">
        <f t="shared" si="866"/>
        <v>4</v>
      </c>
      <c r="P388" s="176">
        <f t="shared" si="866"/>
        <v>-43</v>
      </c>
      <c r="Q388" s="971">
        <f t="shared" si="867"/>
        <v>-70</v>
      </c>
      <c r="R388" s="176">
        <f t="shared" si="867"/>
        <v>-123</v>
      </c>
      <c r="S388" s="176">
        <f t="shared" si="868"/>
        <v>-201</v>
      </c>
      <c r="T388" s="176">
        <f t="shared" si="868"/>
        <v>-477</v>
      </c>
      <c r="U388" s="176">
        <f t="shared" si="868"/>
        <v>-317</v>
      </c>
      <c r="V388" s="971">
        <f t="shared" si="869"/>
        <v>-1118</v>
      </c>
      <c r="W388" s="176">
        <f t="shared" si="869"/>
        <v>-203</v>
      </c>
      <c r="X388" s="176">
        <f t="shared" si="870"/>
        <v>-311</v>
      </c>
      <c r="Y388" s="176">
        <f t="shared" si="870"/>
        <v>-435</v>
      </c>
      <c r="Z388" s="176">
        <f t="shared" si="870"/>
        <v>-1069</v>
      </c>
      <c r="AA388" s="971">
        <f t="shared" si="871"/>
        <v>-2018</v>
      </c>
      <c r="AB388" s="176">
        <f t="shared" si="871"/>
        <v>-1751</v>
      </c>
      <c r="AC388" s="176">
        <f t="shared" si="872"/>
        <v>-771</v>
      </c>
      <c r="AD388" s="176">
        <f t="shared" si="872"/>
        <v>-1167</v>
      </c>
      <c r="AE388" s="176">
        <f t="shared" si="872"/>
        <v>-1573</v>
      </c>
      <c r="AF388" s="971">
        <f t="shared" si="873"/>
        <v>-5262</v>
      </c>
      <c r="AG388" s="176">
        <f t="shared" si="873"/>
        <v>-618</v>
      </c>
      <c r="AH388" s="176">
        <f t="shared" si="874"/>
        <v>-644</v>
      </c>
      <c r="AI388" s="176">
        <f t="shared" si="874"/>
        <v>-761</v>
      </c>
      <c r="AJ388" s="176">
        <f t="shared" si="874"/>
        <v>-3031</v>
      </c>
      <c r="AK388" s="971">
        <f t="shared" si="875"/>
        <v>-5054</v>
      </c>
      <c r="AL388" s="176">
        <f t="shared" si="875"/>
        <v>-361</v>
      </c>
      <c r="AM388" s="176">
        <f t="shared" si="876"/>
        <v>68</v>
      </c>
      <c r="AN388" s="176">
        <f t="shared" si="876"/>
        <v>-112</v>
      </c>
      <c r="AO388" s="176">
        <f t="shared" si="876"/>
        <v>-455</v>
      </c>
      <c r="AP388" s="971">
        <f t="shared" si="932" ref="AP388:AQ388">AP337</f>
        <v>-860</v>
      </c>
      <c r="AQ388" s="176">
        <f t="shared" si="932"/>
        <v>-201</v>
      </c>
      <c r="AR388" s="176">
        <f t="shared" si="878"/>
        <v>-484</v>
      </c>
      <c r="AS388" s="176">
        <f t="shared" si="878"/>
        <v>-244</v>
      </c>
      <c r="AT388" s="176">
        <f t="shared" si="878"/>
        <v>-137</v>
      </c>
      <c r="AU388" s="971">
        <f t="shared" si="933" ref="AU388:AV388">AU337</f>
        <v>-1066</v>
      </c>
      <c r="AV388" s="176">
        <f t="shared" si="933"/>
        <v>-138</v>
      </c>
      <c r="AW388" s="176">
        <f t="shared" si="892"/>
        <v>-42</v>
      </c>
      <c r="AX388" s="176">
        <f t="shared" si="881"/>
        <v>126</v>
      </c>
      <c r="AY388" s="176">
        <f t="shared" si="881"/>
        <v>-173</v>
      </c>
      <c r="AZ388" s="971">
        <f t="shared" si="934" ref="AZ388:BA388">AZ337</f>
        <v>-227</v>
      </c>
      <c r="BA388" s="176">
        <f t="shared" si="934"/>
        <v>-1074</v>
      </c>
      <c r="BB388" s="176">
        <f t="shared" si="883"/>
        <v>-173</v>
      </c>
      <c r="BC388" s="176">
        <f t="shared" si="883"/>
        <v>345</v>
      </c>
      <c r="BD388" s="176">
        <f t="shared" si="884"/>
        <v>485</v>
      </c>
      <c r="BE388" s="971">
        <f t="shared" si="935" ref="BE388:BF388">BE337</f>
        <v>-417</v>
      </c>
      <c r="BF388" s="176">
        <f t="shared" si="935"/>
        <v>-2119</v>
      </c>
      <c r="BG388" s="176">
        <f t="shared" si="886"/>
        <v>-165</v>
      </c>
      <c r="BH388" s="551">
        <f t="shared" si="887"/>
        <v>-398</v>
      </c>
      <c r="BI388" s="176"/>
      <c r="BJ388" s="971">
        <f t="shared" si="888"/>
        <v>-2682</v>
      </c>
      <c r="BK388" s="176"/>
      <c r="BL388" s="176"/>
      <c r="BM388" s="176"/>
      <c r="BN388" s="176"/>
      <c r="BO388" s="971">
        <f t="shared" si="889"/>
        <v>0</v>
      </c>
      <c r="BP388" s="971"/>
      <c r="BQ388" s="971"/>
      <c r="BR388" s="971"/>
      <c r="BS388" s="113"/>
    </row>
    <row r="389" spans="1:71" s="224" customFormat="1" ht="15">
      <c r="A389" s="362" t="str">
        <f t="shared" si="862"/>
        <v>Purchase of subsidiary</v>
      </c>
      <c r="B389" s="176"/>
      <c r="C389" s="971">
        <f t="shared" si="927"/>
        <v>-83</v>
      </c>
      <c r="D389" s="971">
        <f t="shared" si="927"/>
        <v>0</v>
      </c>
      <c r="E389" s="971">
        <f t="shared" si="927"/>
        <v>0</v>
      </c>
      <c r="F389" s="971">
        <f t="shared" si="927"/>
        <v>0</v>
      </c>
      <c r="G389" s="971">
        <f t="shared" si="927"/>
        <v>0</v>
      </c>
      <c r="H389" s="176">
        <f t="shared" si="927"/>
        <v>0</v>
      </c>
      <c r="I389" s="176">
        <f t="shared" si="864"/>
        <v>0</v>
      </c>
      <c r="J389" s="176">
        <f t="shared" si="864"/>
        <v>0</v>
      </c>
      <c r="K389" s="176">
        <f t="shared" si="864"/>
        <v>0</v>
      </c>
      <c r="L389" s="971">
        <f t="shared" si="865"/>
        <v>0</v>
      </c>
      <c r="M389" s="176">
        <f t="shared" si="865"/>
        <v>0</v>
      </c>
      <c r="N389" s="176">
        <f t="shared" si="866"/>
        <v>0</v>
      </c>
      <c r="O389" s="176">
        <f t="shared" si="866"/>
        <v>0</v>
      </c>
      <c r="P389" s="176">
        <f t="shared" si="866"/>
        <v>-40</v>
      </c>
      <c r="Q389" s="971">
        <f t="shared" si="867"/>
        <v>-40</v>
      </c>
      <c r="R389" s="176">
        <f t="shared" si="867"/>
        <v>0</v>
      </c>
      <c r="S389" s="176">
        <f t="shared" si="868"/>
        <v>0</v>
      </c>
      <c r="T389" s="176">
        <f t="shared" si="868"/>
        <v>0</v>
      </c>
      <c r="U389" s="176">
        <f t="shared" si="868"/>
        <v>0</v>
      </c>
      <c r="V389" s="971">
        <f t="shared" si="869"/>
        <v>0</v>
      </c>
      <c r="W389" s="176">
        <f t="shared" si="869"/>
        <v>0</v>
      </c>
      <c r="X389" s="176">
        <f t="shared" si="870"/>
        <v>0</v>
      </c>
      <c r="Y389" s="176">
        <f t="shared" si="870"/>
        <v>0</v>
      </c>
      <c r="Z389" s="176">
        <f t="shared" si="870"/>
        <v>0</v>
      </c>
      <c r="AA389" s="971">
        <f t="shared" si="871"/>
        <v>0</v>
      </c>
      <c r="AB389" s="176">
        <f t="shared" si="871"/>
        <v>0</v>
      </c>
      <c r="AC389" s="176">
        <f t="shared" si="872"/>
        <v>0</v>
      </c>
      <c r="AD389" s="176">
        <f t="shared" si="872"/>
        <v>0</v>
      </c>
      <c r="AE389" s="176">
        <f t="shared" si="872"/>
        <v>0</v>
      </c>
      <c r="AF389" s="971">
        <f t="shared" si="873"/>
        <v>0</v>
      </c>
      <c r="AG389" s="176">
        <f t="shared" si="873"/>
        <v>0</v>
      </c>
      <c r="AH389" s="176">
        <f t="shared" si="874"/>
        <v>0</v>
      </c>
      <c r="AI389" s="176">
        <f t="shared" si="874"/>
        <v>0</v>
      </c>
      <c r="AJ389" s="176">
        <f t="shared" si="874"/>
        <v>0</v>
      </c>
      <c r="AK389" s="971">
        <f t="shared" si="875"/>
        <v>0</v>
      </c>
      <c r="AL389" s="176">
        <f t="shared" si="875"/>
        <v>0</v>
      </c>
      <c r="AM389" s="176">
        <f t="shared" si="876"/>
        <v>0</v>
      </c>
      <c r="AN389" s="176">
        <f t="shared" si="876"/>
        <v>0</v>
      </c>
      <c r="AO389" s="176">
        <f t="shared" si="876"/>
        <v>0</v>
      </c>
      <c r="AP389" s="971">
        <f t="shared" si="936" ref="AP389:AQ389">AP338</f>
        <v>0</v>
      </c>
      <c r="AQ389" s="176">
        <f t="shared" si="936"/>
        <v>0</v>
      </c>
      <c r="AR389" s="176">
        <f t="shared" si="878"/>
        <v>0</v>
      </c>
      <c r="AS389" s="176">
        <f t="shared" si="878"/>
        <v>0</v>
      </c>
      <c r="AT389" s="176">
        <f t="shared" si="878"/>
        <v>0</v>
      </c>
      <c r="AU389" s="971">
        <f t="shared" si="937" ref="AU389:AV389">AU338</f>
        <v>0</v>
      </c>
      <c r="AV389" s="176">
        <f t="shared" si="937"/>
        <v>0</v>
      </c>
      <c r="AW389" s="176">
        <f t="shared" si="892"/>
        <v>0</v>
      </c>
      <c r="AX389" s="176">
        <f t="shared" si="881"/>
        <v>0</v>
      </c>
      <c r="AY389" s="176">
        <f t="shared" si="881"/>
        <v>0</v>
      </c>
      <c r="AZ389" s="971">
        <f t="shared" si="938" ref="AZ389:BA389">AZ338</f>
        <v>0</v>
      </c>
      <c r="BA389" s="176">
        <f t="shared" si="938"/>
        <v>0</v>
      </c>
      <c r="BB389" s="176">
        <f t="shared" si="883"/>
        <v>0</v>
      </c>
      <c r="BC389" s="176">
        <f t="shared" si="883"/>
        <v>0</v>
      </c>
      <c r="BD389" s="176">
        <f t="shared" si="884"/>
        <v>0</v>
      </c>
      <c r="BE389" s="971">
        <f t="shared" si="939" ref="BE389:BF389">BE338</f>
        <v>0</v>
      </c>
      <c r="BF389" s="176">
        <f t="shared" si="939"/>
        <v>0</v>
      </c>
      <c r="BG389" s="176">
        <f t="shared" si="886"/>
        <v>0</v>
      </c>
      <c r="BH389" s="551">
        <f t="shared" si="887"/>
        <v>0</v>
      </c>
      <c r="BI389" s="176"/>
      <c r="BJ389" s="971">
        <f t="shared" si="888"/>
        <v>0</v>
      </c>
      <c r="BK389" s="176"/>
      <c r="BL389" s="176"/>
      <c r="BM389" s="176"/>
      <c r="BN389" s="176"/>
      <c r="BO389" s="971">
        <f t="shared" si="889"/>
        <v>0</v>
      </c>
      <c r="BP389" s="971"/>
      <c r="BQ389" s="971"/>
      <c r="BR389" s="971"/>
      <c r="BS389" s="113"/>
    </row>
    <row r="390" spans="1:71" s="224" customFormat="1" ht="15">
      <c r="A390" s="362" t="str">
        <f t="shared" si="862"/>
        <v>Settlement of derivatives, net</v>
      </c>
      <c r="B390" s="176"/>
      <c r="C390" s="971">
        <f t="shared" si="927"/>
        <v>0</v>
      </c>
      <c r="D390" s="971">
        <f t="shared" si="927"/>
        <v>0</v>
      </c>
      <c r="E390" s="971">
        <f t="shared" si="927"/>
        <v>0</v>
      </c>
      <c r="F390" s="971">
        <f t="shared" si="927"/>
        <v>0</v>
      </c>
      <c r="G390" s="971">
        <f t="shared" si="927"/>
        <v>-1624</v>
      </c>
      <c r="H390" s="176">
        <f t="shared" si="927"/>
        <v>-320</v>
      </c>
      <c r="I390" s="176">
        <f t="shared" si="864"/>
        <v>74</v>
      </c>
      <c r="J390" s="176">
        <f t="shared" si="864"/>
        <v>-121</v>
      </c>
      <c r="K390" s="176">
        <f t="shared" si="864"/>
        <v>-269</v>
      </c>
      <c r="L390" s="971">
        <f t="shared" si="865"/>
        <v>-636</v>
      </c>
      <c r="M390" s="176">
        <f t="shared" si="865"/>
        <v>-1983</v>
      </c>
      <c r="N390" s="176">
        <f t="shared" si="866"/>
        <v>-217</v>
      </c>
      <c r="O390" s="176">
        <f t="shared" si="866"/>
        <v>-42</v>
      </c>
      <c r="P390" s="176">
        <f t="shared" si="866"/>
        <v>123</v>
      </c>
      <c r="Q390" s="971">
        <f t="shared" si="867"/>
        <v>-2119</v>
      </c>
      <c r="R390" s="176">
        <f t="shared" si="867"/>
        <v>273</v>
      </c>
      <c r="S390" s="176">
        <f t="shared" si="868"/>
        <v>391</v>
      </c>
      <c r="T390" s="176">
        <f t="shared" si="868"/>
        <v>539</v>
      </c>
      <c r="U390" s="176">
        <f t="shared" si="868"/>
        <v>49</v>
      </c>
      <c r="V390" s="971">
        <f t="shared" si="869"/>
        <v>1252</v>
      </c>
      <c r="W390" s="176">
        <f t="shared" si="869"/>
        <v>-44</v>
      </c>
      <c r="X390" s="176">
        <f t="shared" si="870"/>
        <v>10</v>
      </c>
      <c r="Y390" s="176">
        <f t="shared" si="870"/>
        <v>-206</v>
      </c>
      <c r="Z390" s="176">
        <f t="shared" si="870"/>
        <v>-381</v>
      </c>
      <c r="AA390" s="971">
        <f t="shared" si="871"/>
        <v>-621</v>
      </c>
      <c r="AB390" s="176">
        <f t="shared" si="871"/>
        <v>-1</v>
      </c>
      <c r="AC390" s="176">
        <f t="shared" si="872"/>
        <v>-35</v>
      </c>
      <c r="AD390" s="176">
        <f t="shared" si="872"/>
        <v>-105</v>
      </c>
      <c r="AE390" s="176">
        <f t="shared" si="872"/>
        <v>-100</v>
      </c>
      <c r="AF390" s="971">
        <f t="shared" si="873"/>
        <v>-241</v>
      </c>
      <c r="AG390" s="176">
        <f t="shared" si="873"/>
        <v>-3</v>
      </c>
      <c r="AH390" s="176">
        <f t="shared" si="874"/>
        <v>-11</v>
      </c>
      <c r="AI390" s="176">
        <f t="shared" si="874"/>
        <v>27</v>
      </c>
      <c r="AJ390" s="176">
        <f t="shared" si="874"/>
        <v>-22</v>
      </c>
      <c r="AK390" s="971">
        <f t="shared" si="875"/>
        <v>-9</v>
      </c>
      <c r="AL390" s="176">
        <f t="shared" si="875"/>
        <v>13</v>
      </c>
      <c r="AM390" s="176">
        <f t="shared" si="876"/>
        <v>8</v>
      </c>
      <c r="AN390" s="176">
        <f t="shared" si="876"/>
        <v>-6</v>
      </c>
      <c r="AO390" s="176">
        <f t="shared" si="876"/>
        <v>3</v>
      </c>
      <c r="AP390" s="971">
        <f t="shared" si="940" ref="AP390:AQ390">AP339</f>
        <v>18</v>
      </c>
      <c r="AQ390" s="176">
        <f t="shared" si="940"/>
        <v>116</v>
      </c>
      <c r="AR390" s="176">
        <f t="shared" si="878"/>
        <v>39</v>
      </c>
      <c r="AS390" s="176">
        <f t="shared" si="878"/>
        <v>16</v>
      </c>
      <c r="AT390" s="176">
        <f t="shared" si="878"/>
        <v>28</v>
      </c>
      <c r="AU390" s="971">
        <f t="shared" si="941" ref="AU390:AV390">AU339</f>
        <v>199</v>
      </c>
      <c r="AV390" s="176">
        <f t="shared" si="941"/>
        <v>-558</v>
      </c>
      <c r="AW390" s="176">
        <f t="shared" si="892"/>
        <v>228</v>
      </c>
      <c r="AX390" s="176">
        <f t="shared" si="881"/>
        <v>171</v>
      </c>
      <c r="AY390" s="176">
        <f t="shared" si="881"/>
        <v>98</v>
      </c>
      <c r="AZ390" s="971">
        <f t="shared" si="942" ref="AZ390:BA390">AZ339</f>
        <v>-61</v>
      </c>
      <c r="BA390" s="176">
        <f t="shared" si="942"/>
        <v>-480</v>
      </c>
      <c r="BB390" s="176">
        <f t="shared" si="883"/>
        <v>191</v>
      </c>
      <c r="BC390" s="176">
        <f t="shared" si="883"/>
        <v>345</v>
      </c>
      <c r="BD390" s="176">
        <f t="shared" si="884"/>
        <v>23</v>
      </c>
      <c r="BE390" s="971">
        <f t="shared" si="943" ref="BE390:BF390">BE339</f>
        <v>79</v>
      </c>
      <c r="BF390" s="176">
        <f t="shared" si="943"/>
        <v>-256</v>
      </c>
      <c r="BG390" s="176">
        <f t="shared" si="886"/>
        <v>150</v>
      </c>
      <c r="BH390" s="551">
        <f t="shared" si="887"/>
        <v>14</v>
      </c>
      <c r="BI390" s="176"/>
      <c r="BJ390" s="971">
        <f t="shared" si="888"/>
        <v>-92</v>
      </c>
      <c r="BK390" s="176"/>
      <c r="BL390" s="176"/>
      <c r="BM390" s="176"/>
      <c r="BN390" s="176"/>
      <c r="BO390" s="971">
        <f t="shared" si="889"/>
        <v>0</v>
      </c>
      <c r="BP390" s="971"/>
      <c r="BQ390" s="971"/>
      <c r="BR390" s="971"/>
      <c r="BS390" s="113"/>
    </row>
    <row r="391" spans="1:71" s="224" customFormat="1" ht="15">
      <c r="A391" s="362" t="str">
        <f t="shared" si="862"/>
        <v>Cash received (pledged or returned) as collateral, net</v>
      </c>
      <c r="B391" s="176"/>
      <c r="C391" s="971">
        <f t="shared" si="927"/>
        <v>0</v>
      </c>
      <c r="D391" s="971">
        <f t="shared" si="927"/>
        <v>0</v>
      </c>
      <c r="E391" s="971">
        <f t="shared" si="927"/>
        <v>0</v>
      </c>
      <c r="F391" s="971">
        <f t="shared" si="927"/>
        <v>5439</v>
      </c>
      <c r="G391" s="971">
        <f t="shared" si="927"/>
        <v>1037</v>
      </c>
      <c r="H391" s="176">
        <f t="shared" si="927"/>
        <v>-2677</v>
      </c>
      <c r="I391" s="176">
        <f t="shared" si="864"/>
        <v>-381</v>
      </c>
      <c r="J391" s="176">
        <f t="shared" si="864"/>
        <v>4472</v>
      </c>
      <c r="K391" s="176">
        <f t="shared" si="864"/>
        <v>-4631</v>
      </c>
      <c r="L391" s="971">
        <f t="shared" si="865"/>
        <v>-3217</v>
      </c>
      <c r="M391" s="176">
        <f t="shared" si="865"/>
        <v>503</v>
      </c>
      <c r="N391" s="176">
        <f t="shared" si="866"/>
        <v>-1504</v>
      </c>
      <c r="O391" s="176">
        <f t="shared" si="866"/>
        <v>-403</v>
      </c>
      <c r="P391" s="176">
        <f t="shared" si="866"/>
        <v>13</v>
      </c>
      <c r="Q391" s="971">
        <f t="shared" si="867"/>
        <v>-1391</v>
      </c>
      <c r="R391" s="176">
        <f t="shared" si="867"/>
        <v>-189</v>
      </c>
      <c r="S391" s="176">
        <f t="shared" si="868"/>
        <v>-336</v>
      </c>
      <c r="T391" s="176">
        <f t="shared" si="868"/>
        <v>175</v>
      </c>
      <c r="U391" s="176">
        <f t="shared" si="868"/>
        <v>-66</v>
      </c>
      <c r="V391" s="971">
        <f t="shared" si="869"/>
        <v>-416</v>
      </c>
      <c r="W391" s="176">
        <f t="shared" si="869"/>
        <v>654</v>
      </c>
      <c r="X391" s="176">
        <f t="shared" si="870"/>
        <v>-783</v>
      </c>
      <c r="Y391" s="176">
        <f t="shared" si="870"/>
        <v>-144</v>
      </c>
      <c r="Z391" s="176">
        <f t="shared" si="870"/>
        <v>68</v>
      </c>
      <c r="AA391" s="971">
        <f t="shared" si="871"/>
        <v>-205</v>
      </c>
      <c r="AB391" s="176">
        <f t="shared" si="871"/>
        <v>4578</v>
      </c>
      <c r="AC391" s="176">
        <f t="shared" si="872"/>
        <v>-1468</v>
      </c>
      <c r="AD391" s="176">
        <f t="shared" si="872"/>
        <v>-1697</v>
      </c>
      <c r="AE391" s="176">
        <f t="shared" si="872"/>
        <v>-1065</v>
      </c>
      <c r="AF391" s="971">
        <f t="shared" si="873"/>
        <v>348</v>
      </c>
      <c r="AG391" s="176">
        <f t="shared" si="873"/>
        <v>976</v>
      </c>
      <c r="AH391" s="176">
        <f t="shared" si="874"/>
        <v>-481</v>
      </c>
      <c r="AI391" s="176">
        <f t="shared" si="874"/>
        <v>649</v>
      </c>
      <c r="AJ391" s="176">
        <f t="shared" si="874"/>
        <v>-218</v>
      </c>
      <c r="AK391" s="971">
        <f t="shared" si="875"/>
        <v>926</v>
      </c>
      <c r="AL391" s="176">
        <f t="shared" si="875"/>
        <v>1160</v>
      </c>
      <c r="AM391" s="176">
        <f t="shared" si="876"/>
        <v>-701</v>
      </c>
      <c r="AN391" s="176">
        <f t="shared" si="876"/>
        <v>-879</v>
      </c>
      <c r="AO391" s="176">
        <f t="shared" si="876"/>
        <v>-607</v>
      </c>
      <c r="AP391" s="971">
        <f t="shared" si="944" ref="AP391:AQ391">AP340</f>
        <v>-1027</v>
      </c>
      <c r="AQ391" s="176">
        <f t="shared" si="944"/>
        <v>1206</v>
      </c>
      <c r="AR391" s="176">
        <f t="shared" si="878"/>
        <v>1206</v>
      </c>
      <c r="AS391" s="176">
        <f t="shared" si="878"/>
        <v>-289</v>
      </c>
      <c r="AT391" s="176">
        <f t="shared" si="878"/>
        <v>-612</v>
      </c>
      <c r="AU391" s="971">
        <f t="shared" si="945" ref="AU391:AV391">AU340</f>
        <v>1511</v>
      </c>
      <c r="AV391" s="176">
        <f t="shared" si="945"/>
        <v>142</v>
      </c>
      <c r="AW391" s="176">
        <f t="shared" si="892"/>
        <v>1697</v>
      </c>
      <c r="AX391" s="176">
        <f t="shared" si="881"/>
        <v>-1070</v>
      </c>
      <c r="AY391" s="176">
        <f t="shared" si="881"/>
        <v>-1442</v>
      </c>
      <c r="AZ391" s="971">
        <f t="shared" si="946" ref="AZ391:BA391">AZ340</f>
        <v>-673</v>
      </c>
      <c r="BA391" s="176">
        <f t="shared" si="946"/>
        <v>1756</v>
      </c>
      <c r="BB391" s="176">
        <f t="shared" si="883"/>
        <v>1671</v>
      </c>
      <c r="BC391" s="176">
        <f t="shared" si="883"/>
        <v>-533</v>
      </c>
      <c r="BD391" s="176">
        <f t="shared" si="884"/>
        <v>-3295</v>
      </c>
      <c r="BE391" s="971">
        <f t="shared" si="947" ref="BE391:BF391">BE340</f>
        <v>-401</v>
      </c>
      <c r="BF391" s="176">
        <f t="shared" si="947"/>
        <v>1973</v>
      </c>
      <c r="BG391" s="176">
        <f t="shared" si="886"/>
        <v>1402</v>
      </c>
      <c r="BH391" s="551">
        <f t="shared" si="887"/>
        <v>-594</v>
      </c>
      <c r="BI391" s="176"/>
      <c r="BJ391" s="971">
        <f t="shared" si="888"/>
        <v>2781</v>
      </c>
      <c r="BK391" s="176"/>
      <c r="BL391" s="176"/>
      <c r="BM391" s="176"/>
      <c r="BN391" s="176"/>
      <c r="BO391" s="971">
        <f t="shared" si="889"/>
        <v>0</v>
      </c>
      <c r="BP391" s="971"/>
      <c r="BQ391" s="971"/>
      <c r="BR391" s="971"/>
      <c r="BS391" s="113"/>
    </row>
    <row r="392" spans="1:71" s="224" customFormat="1" ht="15">
      <c r="A392" s="364" t="str">
        <f t="shared" si="862"/>
        <v>Other, net</v>
      </c>
      <c r="B392" s="177"/>
      <c r="C392" s="973">
        <f t="shared" si="927"/>
        <v>-72</v>
      </c>
      <c r="D392" s="973">
        <f t="shared" si="927"/>
        <v>-28</v>
      </c>
      <c r="E392" s="973">
        <f t="shared" si="927"/>
        <v>-62</v>
      </c>
      <c r="F392" s="973">
        <f t="shared" si="927"/>
        <v>514</v>
      </c>
      <c r="G392" s="973">
        <f t="shared" si="927"/>
        <v>-35</v>
      </c>
      <c r="H392" s="177">
        <f t="shared" si="927"/>
        <v>-21</v>
      </c>
      <c r="I392" s="177">
        <f t="shared" si="864"/>
        <v>-95</v>
      </c>
      <c r="J392" s="177">
        <f t="shared" si="864"/>
        <v>126</v>
      </c>
      <c r="K392" s="177">
        <f t="shared" si="864"/>
        <v>20</v>
      </c>
      <c r="L392" s="973">
        <f t="shared" si="865"/>
        <v>30</v>
      </c>
      <c r="M392" s="177">
        <f t="shared" si="865"/>
        <v>60</v>
      </c>
      <c r="N392" s="177">
        <f t="shared" si="866"/>
        <v>-87</v>
      </c>
      <c r="O392" s="177">
        <f t="shared" si="866"/>
        <v>-4</v>
      </c>
      <c r="P392" s="177">
        <f t="shared" si="866"/>
        <v>-55</v>
      </c>
      <c r="Q392" s="973">
        <f t="shared" si="867"/>
        <v>-86</v>
      </c>
      <c r="R392" s="177">
        <f t="shared" si="867"/>
        <v>-159</v>
      </c>
      <c r="S392" s="177">
        <f t="shared" si="868"/>
        <v>126</v>
      </c>
      <c r="T392" s="177">
        <f t="shared" si="868"/>
        <v>-23</v>
      </c>
      <c r="U392" s="177">
        <f t="shared" si="868"/>
        <v>-20</v>
      </c>
      <c r="V392" s="973">
        <f t="shared" si="869"/>
        <v>-76</v>
      </c>
      <c r="W392" s="177">
        <f t="shared" si="869"/>
        <v>-23</v>
      </c>
      <c r="X392" s="177">
        <f t="shared" si="870"/>
        <v>-19</v>
      </c>
      <c r="Y392" s="177">
        <f t="shared" si="870"/>
        <v>-16</v>
      </c>
      <c r="Z392" s="177">
        <f t="shared" si="870"/>
        <v>-10</v>
      </c>
      <c r="AA392" s="973">
        <f t="shared" si="871"/>
        <v>-68</v>
      </c>
      <c r="AB392" s="177">
        <f t="shared" si="871"/>
        <v>-34</v>
      </c>
      <c r="AC392" s="177">
        <f t="shared" si="872"/>
        <v>107</v>
      </c>
      <c r="AD392" s="177">
        <f t="shared" si="872"/>
        <v>115</v>
      </c>
      <c r="AE392" s="177">
        <f t="shared" si="872"/>
        <v>-12</v>
      </c>
      <c r="AF392" s="973">
        <f t="shared" si="873"/>
        <v>176</v>
      </c>
      <c r="AG392" s="177">
        <f t="shared" si="873"/>
        <v>-15</v>
      </c>
      <c r="AH392" s="177">
        <f t="shared" si="874"/>
        <v>140</v>
      </c>
      <c r="AI392" s="177">
        <f t="shared" si="874"/>
        <v>-110</v>
      </c>
      <c r="AJ392" s="177">
        <f t="shared" si="874"/>
        <v>-138</v>
      </c>
      <c r="AK392" s="973">
        <f t="shared" si="875"/>
        <v>-123</v>
      </c>
      <c r="AL392" s="177">
        <f t="shared" si="875"/>
        <v>-55</v>
      </c>
      <c r="AM392" s="177">
        <f t="shared" si="876"/>
        <v>-64</v>
      </c>
      <c r="AN392" s="177">
        <f t="shared" si="876"/>
        <v>-66</v>
      </c>
      <c r="AO392" s="177">
        <f t="shared" si="876"/>
        <v>-80</v>
      </c>
      <c r="AP392" s="973">
        <f t="shared" si="948" ref="AP392:AQ392">AP341</f>
        <v>-265</v>
      </c>
      <c r="AQ392" s="177">
        <f t="shared" si="948"/>
        <v>-32</v>
      </c>
      <c r="AR392" s="177">
        <f t="shared" si="878"/>
        <v>37</v>
      </c>
      <c r="AS392" s="177">
        <f t="shared" si="878"/>
        <v>-18</v>
      </c>
      <c r="AT392" s="177">
        <f t="shared" si="878"/>
        <v>54</v>
      </c>
      <c r="AU392" s="973">
        <f t="shared" si="949" ref="AU392:AV392">AU341</f>
        <v>41</v>
      </c>
      <c r="AV392" s="177">
        <f t="shared" si="949"/>
        <v>41</v>
      </c>
      <c r="AW392" s="177">
        <f t="shared" si="892"/>
        <v>131</v>
      </c>
      <c r="AX392" s="177">
        <f t="shared" si="881"/>
        <v>-14</v>
      </c>
      <c r="AY392" s="177">
        <f t="shared" si="881"/>
        <v>-46</v>
      </c>
      <c r="AZ392" s="973">
        <f t="shared" si="950" ref="AZ392:BA392">AZ341</f>
        <v>112</v>
      </c>
      <c r="BA392" s="177">
        <f t="shared" si="950"/>
        <v>-51</v>
      </c>
      <c r="BB392" s="177">
        <f t="shared" si="883"/>
        <v>-33</v>
      </c>
      <c r="BC392" s="177">
        <f t="shared" si="883"/>
        <v>-76</v>
      </c>
      <c r="BD392" s="177">
        <f t="shared" si="884"/>
        <v>11</v>
      </c>
      <c r="BE392" s="973">
        <f t="shared" si="951" ref="BE392:BF392">BE341</f>
        <v>-149</v>
      </c>
      <c r="BF392" s="177">
        <f t="shared" si="951"/>
        <v>148</v>
      </c>
      <c r="BG392" s="177">
        <f t="shared" si="886"/>
        <v>108</v>
      </c>
      <c r="BH392" s="638">
        <f t="shared" si="887"/>
        <v>-158</v>
      </c>
      <c r="BI392" s="177"/>
      <c r="BJ392" s="973">
        <f t="shared" si="888"/>
        <v>98</v>
      </c>
      <c r="BK392" s="177"/>
      <c r="BL392" s="177"/>
      <c r="BM392" s="177"/>
      <c r="BN392" s="177"/>
      <c r="BO392" s="973">
        <f t="shared" si="889"/>
        <v>0</v>
      </c>
      <c r="BP392" s="973"/>
      <c r="BQ392" s="973"/>
      <c r="BR392" s="973"/>
      <c r="BS392" s="113"/>
    </row>
    <row r="393" spans="1:71" s="44" customFormat="1" ht="15">
      <c r="A393" s="366" t="str">
        <f t="shared" si="862"/>
        <v>Net CFI</v>
      </c>
      <c r="B393" s="367"/>
      <c r="C393" s="982">
        <f t="shared" si="952" ref="C393:AM393">SUM(C377:C392)</f>
        <v>-5476</v>
      </c>
      <c r="D393" s="982">
        <f t="shared" si="952"/>
        <v>-7432</v>
      </c>
      <c r="E393" s="982">
        <f t="shared" si="952"/>
        <v>-10829</v>
      </c>
      <c r="F393" s="982">
        <f t="shared" si="952"/>
        <v>-16952</v>
      </c>
      <c r="G393" s="982">
        <f t="shared" si="952"/>
        <v>-11091</v>
      </c>
      <c r="H393" s="25">
        <f t="shared" si="952"/>
        <v>-2123</v>
      </c>
      <c r="I393" s="25">
        <f t="shared" si="952"/>
        <v>-1471</v>
      </c>
      <c r="J393" s="25">
        <f t="shared" si="952"/>
        <v>-550</v>
      </c>
      <c r="K393" s="25">
        <f t="shared" si="952"/>
        <v>-97</v>
      </c>
      <c r="L393" s="982">
        <f t="shared" si="952"/>
        <v>-4241</v>
      </c>
      <c r="M393" s="25">
        <f t="shared" si="952"/>
        <v>-2078</v>
      </c>
      <c r="N393" s="25">
        <f t="shared" si="952"/>
        <v>-1488</v>
      </c>
      <c r="O393" s="25">
        <f t="shared" si="952"/>
        <v>-517</v>
      </c>
      <c r="P393" s="25">
        <f t="shared" si="952"/>
        <v>-814</v>
      </c>
      <c r="Q393" s="982">
        <f t="shared" si="952"/>
        <v>-4897</v>
      </c>
      <c r="R393" s="25">
        <f t="shared" si="952"/>
        <v>-1487</v>
      </c>
      <c r="S393" s="25">
        <f t="shared" si="952"/>
        <v>-942</v>
      </c>
      <c r="T393" s="25">
        <f t="shared" si="952"/>
        <v>-209</v>
      </c>
      <c r="U393" s="25">
        <f t="shared" si="952"/>
        <v>-1217</v>
      </c>
      <c r="V393" s="982">
        <f t="shared" si="952"/>
        <v>-3855</v>
      </c>
      <c r="W393" s="25">
        <f t="shared" si="952"/>
        <v>-1527</v>
      </c>
      <c r="X393" s="25">
        <f t="shared" si="952"/>
        <v>-990</v>
      </c>
      <c r="Y393" s="25">
        <f t="shared" si="952"/>
        <v>-370</v>
      </c>
      <c r="Z393" s="25">
        <f t="shared" si="952"/>
        <v>-2544</v>
      </c>
      <c r="AA393" s="982">
        <f t="shared" si="952"/>
        <v>-5431</v>
      </c>
      <c r="AB393" s="25">
        <f t="shared" si="952"/>
        <v>-199</v>
      </c>
      <c r="AC393" s="25">
        <f t="shared" si="952"/>
        <v>-1244</v>
      </c>
      <c r="AD393" s="25">
        <f t="shared" si="952"/>
        <v>-1729</v>
      </c>
      <c r="AE393" s="25">
        <f t="shared" si="952"/>
        <v>-410</v>
      </c>
      <c r="AF393" s="982">
        <f t="shared" si="952"/>
        <v>-3582</v>
      </c>
      <c r="AG393" s="25">
        <f t="shared" si="952"/>
        <v>-1291</v>
      </c>
      <c r="AH393" s="25">
        <f t="shared" si="952"/>
        <v>-1436</v>
      </c>
      <c r="AI393" s="25">
        <f t="shared" si="952"/>
        <v>-219</v>
      </c>
      <c r="AJ393" s="25">
        <f t="shared" si="952"/>
        <v>-225</v>
      </c>
      <c r="AK393" s="982">
        <f t="shared" si="952"/>
        <v>-3171</v>
      </c>
      <c r="AL393" s="25">
        <f t="shared" si="952"/>
        <v>-1716</v>
      </c>
      <c r="AM393" s="25">
        <f t="shared" si="952"/>
        <v>-404</v>
      </c>
      <c r="AN393" s="25">
        <f t="shared" si="953" ref="AN393">SUM(AN377:AN392)</f>
        <v>-1391</v>
      </c>
      <c r="AO393" s="25">
        <f t="shared" si="954" ref="AO393:AP393">SUM(AO377:AO392)</f>
        <v>-1108</v>
      </c>
      <c r="AP393" s="982">
        <f t="shared" si="954"/>
        <v>-4619</v>
      </c>
      <c r="AQ393" s="25">
        <f t="shared" si="955" ref="AQ393">SUM(AQ377:AQ392)</f>
        <v>-969</v>
      </c>
      <c r="AR393" s="25">
        <f t="shared" si="956" ref="AR393:AV393">SUM(AR377:AR392)</f>
        <v>130</v>
      </c>
      <c r="AS393" s="25">
        <f t="shared" si="956"/>
        <v>-332</v>
      </c>
      <c r="AT393" s="25">
        <f t="shared" si="956"/>
        <v>-1207</v>
      </c>
      <c r="AU393" s="982">
        <f t="shared" si="956"/>
        <v>-2378</v>
      </c>
      <c r="AV393" s="25">
        <f t="shared" si="956"/>
        <v>-1210</v>
      </c>
      <c r="AW393" s="25">
        <f t="shared" si="957" ref="AW393">SUM(AW377:AW392)</f>
        <v>1293</v>
      </c>
      <c r="AX393" s="25">
        <f t="shared" si="958" ref="AX393:AZ393">SUM(AX377:AX392)</f>
        <v>-930</v>
      </c>
      <c r="AY393" s="25">
        <f t="shared" si="958"/>
        <v>-693</v>
      </c>
      <c r="AZ393" s="982">
        <f t="shared" si="958"/>
        <v>-1540</v>
      </c>
      <c r="BA393" s="25">
        <f t="shared" si="959" ref="BA393:BJ393">SUM(BA377:BA392)</f>
        <v>105</v>
      </c>
      <c r="BB393" s="25">
        <f t="shared" si="959"/>
        <v>1628</v>
      </c>
      <c r="BC393" s="25">
        <f>SUM(BC377:BC392)</f>
        <v>496</v>
      </c>
      <c r="BD393" s="25">
        <f t="shared" si="960" ref="BD393:BE393">SUM(BD377:BD392)</f>
        <v>-1412</v>
      </c>
      <c r="BE393" s="982">
        <f t="shared" si="960"/>
        <v>817</v>
      </c>
      <c r="BF393" s="25">
        <f>SUM(BF377:BF392)</f>
        <v>227</v>
      </c>
      <c r="BG393" s="25">
        <f t="shared" si="961" ref="BG393">SUM(BG377:BG392)</f>
        <v>2067</v>
      </c>
      <c r="BH393" s="749">
        <f>SUM(BH377:BH392)</f>
        <v>-1030</v>
      </c>
      <c r="BI393" s="25">
        <f>SUM(BI377:BI392)</f>
        <v>-2071.2500000000146</v>
      </c>
      <c r="BJ393" s="982">
        <f t="shared" si="959"/>
        <v>-807.25000000001455</v>
      </c>
      <c r="BK393" s="25">
        <f t="shared" si="962" ref="BK393:BR393">SUM(BK377:BK392)</f>
        <v>2449.1100000000151</v>
      </c>
      <c r="BL393" s="25">
        <f t="shared" si="962"/>
        <v>5065.6800000000076</v>
      </c>
      <c r="BM393" s="25">
        <f t="shared" si="962"/>
        <v>-8006.2500000000146</v>
      </c>
      <c r="BN393" s="25">
        <f t="shared" si="962"/>
        <v>-2121.655500000008</v>
      </c>
      <c r="BO393" s="982">
        <f t="shared" si="962"/>
        <v>-2613.1154999999999</v>
      </c>
      <c r="BP393" s="982">
        <f t="shared" si="962"/>
        <v>-1788.1883550000057</v>
      </c>
      <c r="BQ393" s="982">
        <f t="shared" si="962"/>
        <v>-1841.4979735500092</v>
      </c>
      <c r="BR393" s="982">
        <f t="shared" si="962"/>
        <v>-1897.1120750354894</v>
      </c>
      <c r="BS393" s="124"/>
    </row>
    <row r="394" spans="1:71" s="44" customFormat="1" ht="15">
      <c r="A394" s="368"/>
      <c r="B394" s="369"/>
      <c r="C394" s="978"/>
      <c r="D394" s="978"/>
      <c r="E394" s="978"/>
      <c r="F394" s="978"/>
      <c r="G394" s="978"/>
      <c r="H394" s="185"/>
      <c r="I394" s="185"/>
      <c r="J394" s="185"/>
      <c r="K394" s="185"/>
      <c r="L394" s="978"/>
      <c r="M394" s="185"/>
      <c r="N394" s="185"/>
      <c r="O394" s="185"/>
      <c r="P394" s="185"/>
      <c r="Q394" s="978"/>
      <c r="R394" s="185"/>
      <c r="S394" s="185"/>
      <c r="T394" s="185"/>
      <c r="U394" s="185"/>
      <c r="V394" s="978"/>
      <c r="W394" s="185"/>
      <c r="X394" s="185"/>
      <c r="Y394" s="185"/>
      <c r="Z394" s="185"/>
      <c r="AA394" s="978"/>
      <c r="AB394" s="185"/>
      <c r="AC394" s="185"/>
      <c r="AD394" s="185"/>
      <c r="AE394" s="185"/>
      <c r="AF394" s="978"/>
      <c r="AG394" s="185"/>
      <c r="AH394" s="185"/>
      <c r="AI394" s="185"/>
      <c r="AJ394" s="185"/>
      <c r="AK394" s="978"/>
      <c r="AL394" s="185"/>
      <c r="AM394" s="185"/>
      <c r="AN394" s="185"/>
      <c r="AO394" s="185"/>
      <c r="AP394" s="978"/>
      <c r="AQ394" s="185"/>
      <c r="AR394" s="185"/>
      <c r="AS394" s="185"/>
      <c r="AT394" s="185"/>
      <c r="AU394" s="978"/>
      <c r="AV394" s="185"/>
      <c r="AW394" s="185"/>
      <c r="AX394" s="185"/>
      <c r="AY394" s="185"/>
      <c r="AZ394" s="978"/>
      <c r="BA394" s="185"/>
      <c r="BB394" s="185"/>
      <c r="BC394" s="185"/>
      <c r="BD394" s="185"/>
      <c r="BE394" s="978"/>
      <c r="BF394" s="185"/>
      <c r="BG394" s="185"/>
      <c r="BH394" s="552"/>
      <c r="BI394" s="185"/>
      <c r="BJ394" s="978"/>
      <c r="BK394" s="185"/>
      <c r="BL394" s="185"/>
      <c r="BM394" s="185"/>
      <c r="BN394" s="185"/>
      <c r="BO394" s="978"/>
      <c r="BP394" s="978"/>
      <c r="BQ394" s="978"/>
      <c r="BR394" s="978"/>
      <c r="BS394" s="124"/>
    </row>
    <row r="395" spans="1:71" s="44" customFormat="1" ht="15">
      <c r="A395" s="368" t="str">
        <f t="shared" si="963" ref="A395:A403">A344</f>
        <v>CFF</v>
      </c>
      <c r="B395" s="369"/>
      <c r="C395" s="978"/>
      <c r="D395" s="978"/>
      <c r="E395" s="978"/>
      <c r="F395" s="978"/>
      <c r="G395" s="978"/>
      <c r="H395" s="185"/>
      <c r="I395" s="185"/>
      <c r="J395" s="185"/>
      <c r="K395" s="185"/>
      <c r="L395" s="978"/>
      <c r="M395" s="185"/>
      <c r="N395" s="185"/>
      <c r="O395" s="185"/>
      <c r="P395" s="185"/>
      <c r="Q395" s="978"/>
      <c r="R395" s="185"/>
      <c r="S395" s="185"/>
      <c r="T395" s="185"/>
      <c r="U395" s="185"/>
      <c r="V395" s="978"/>
      <c r="W395" s="185"/>
      <c r="X395" s="185"/>
      <c r="Y395" s="185"/>
      <c r="Z395" s="185"/>
      <c r="AA395" s="978"/>
      <c r="AB395" s="185"/>
      <c r="AC395" s="185"/>
      <c r="AD395" s="185"/>
      <c r="AE395" s="185"/>
      <c r="AF395" s="978"/>
      <c r="AG395" s="185"/>
      <c r="AH395" s="185"/>
      <c r="AI395" s="185"/>
      <c r="AJ395" s="185"/>
      <c r="AK395" s="978"/>
      <c r="AL395" s="185"/>
      <c r="AM395" s="185"/>
      <c r="AN395" s="185"/>
      <c r="AO395" s="185"/>
      <c r="AP395" s="978"/>
      <c r="AQ395" s="185"/>
      <c r="AR395" s="185"/>
      <c r="AS395" s="185"/>
      <c r="AT395" s="185"/>
      <c r="AU395" s="978"/>
      <c r="AV395" s="185"/>
      <c r="AW395" s="185"/>
      <c r="AX395" s="185"/>
      <c r="AY395" s="185"/>
      <c r="AZ395" s="978"/>
      <c r="BA395" s="185"/>
      <c r="BB395" s="185"/>
      <c r="BC395" s="185"/>
      <c r="BD395" s="185"/>
      <c r="BE395" s="978"/>
      <c r="BF395" s="185"/>
      <c r="BG395" s="185"/>
      <c r="BH395" s="552"/>
      <c r="BI395" s="185"/>
      <c r="BJ395" s="978"/>
      <c r="BK395" s="185"/>
      <c r="BL395" s="185"/>
      <c r="BM395" s="185"/>
      <c r="BN395" s="185"/>
      <c r="BO395" s="978"/>
      <c r="BP395" s="978"/>
      <c r="BQ395" s="978"/>
      <c r="BR395" s="978"/>
      <c r="BS395" s="124"/>
    </row>
    <row r="396" spans="1:71" s="224" customFormat="1" ht="15">
      <c r="A396" s="362" t="str">
        <f t="shared" si="963"/>
        <v>Purchases of treasury stock</v>
      </c>
      <c r="B396" s="176"/>
      <c r="C396" s="971">
        <f t="shared" si="964" ref="C396:H402">C345</f>
        <v>-10</v>
      </c>
      <c r="D396" s="971">
        <f t="shared" si="964"/>
        <v>-121</v>
      </c>
      <c r="E396" s="971">
        <f t="shared" si="964"/>
        <v>-308</v>
      </c>
      <c r="F396" s="971">
        <f t="shared" si="964"/>
        <v>-118</v>
      </c>
      <c r="G396" s="971">
        <f t="shared" si="964"/>
        <v>-813</v>
      </c>
      <c r="H396" s="176">
        <f t="shared" si="964"/>
        <v>-421</v>
      </c>
      <c r="I396" s="176">
        <f t="shared" si="965" ref="I396:K402">I345-H345</f>
        <v>-101</v>
      </c>
      <c r="J396" s="176">
        <f t="shared" si="965"/>
        <v>-176</v>
      </c>
      <c r="K396" s="176">
        <f t="shared" si="965"/>
        <v>-512</v>
      </c>
      <c r="L396" s="971">
        <f t="shared" si="966" ref="L396:M402">L345</f>
        <v>-1210</v>
      </c>
      <c r="M396" s="176">
        <f t="shared" si="966"/>
        <v>-610</v>
      </c>
      <c r="N396" s="176">
        <f t="shared" si="967" ref="N396:P402">N345-M345</f>
        <v>-238</v>
      </c>
      <c r="O396" s="176">
        <f t="shared" si="967"/>
        <v>-233</v>
      </c>
      <c r="P396" s="176">
        <f t="shared" si="967"/>
        <v>-234</v>
      </c>
      <c r="Q396" s="971">
        <f t="shared" si="968" ref="Q396:R402">Q345</f>
        <v>-1315</v>
      </c>
      <c r="R396" s="176">
        <f t="shared" si="968"/>
        <v>-612</v>
      </c>
      <c r="S396" s="176">
        <f t="shared" si="969" ref="S396:U402">S345-R345</f>
        <v>-402</v>
      </c>
      <c r="T396" s="176">
        <f t="shared" si="969"/>
        <v>-208</v>
      </c>
      <c r="U396" s="176">
        <f t="shared" si="969"/>
        <v>-200</v>
      </c>
      <c r="V396" s="971">
        <f t="shared" si="970" ref="V396:W402">V345</f>
        <v>-1422</v>
      </c>
      <c r="W396" s="176">
        <f t="shared" si="970"/>
        <v>-610</v>
      </c>
      <c r="X396" s="176">
        <f t="shared" si="971" ref="X396:Z402">X345-W345</f>
        <v>-203</v>
      </c>
      <c r="Y396" s="176">
        <f t="shared" si="971"/>
        <v>-240</v>
      </c>
      <c r="Z396" s="176">
        <f t="shared" si="971"/>
        <v>-298</v>
      </c>
      <c r="AA396" s="971">
        <f t="shared" si="972" ref="AA396:AB402">AA345</f>
        <v>-1351</v>
      </c>
      <c r="AB396" s="176">
        <f t="shared" si="972"/>
        <v>-296</v>
      </c>
      <c r="AC396" s="176">
        <f t="shared" si="973" ref="AC396:AE402">AC345-AB345</f>
        <v>-305</v>
      </c>
      <c r="AD396" s="176">
        <f t="shared" si="973"/>
        <v>-322</v>
      </c>
      <c r="AE396" s="176">
        <f t="shared" si="973"/>
        <v>-378</v>
      </c>
      <c r="AF396" s="971">
        <f t="shared" si="974" ref="AF396:AG402">AF345</f>
        <v>-1301</v>
      </c>
      <c r="AG396" s="176">
        <f t="shared" si="974"/>
        <v>-490</v>
      </c>
      <c r="AH396" s="176">
        <f t="shared" si="975" ref="AH396:AJ402">AH345-AG345</f>
        <v>-357</v>
      </c>
      <c r="AI396" s="176">
        <f t="shared" si="975"/>
        <v>-310</v>
      </c>
      <c r="AJ396" s="176">
        <f t="shared" si="975"/>
        <v>-470</v>
      </c>
      <c r="AK396" s="971">
        <f t="shared" si="976" ref="AK396:AL402">AK345</f>
        <v>-1627</v>
      </c>
      <c r="AL396" s="176">
        <f t="shared" si="976"/>
        <v>-449</v>
      </c>
      <c r="AM396" s="176">
        <f t="shared" si="977" ref="AM396:AO402">AM345-AL345</f>
        <v>-188</v>
      </c>
      <c r="AN396" s="176">
        <f t="shared" si="977"/>
        <v>-400</v>
      </c>
      <c r="AO396" s="176">
        <f t="shared" si="977"/>
        <v>-500</v>
      </c>
      <c r="AP396" s="971">
        <f t="shared" si="978" ref="AP396:AQ396">AP345</f>
        <v>-1537</v>
      </c>
      <c r="AQ396" s="176">
        <f t="shared" si="978"/>
        <v>-650</v>
      </c>
      <c r="AR396" s="176">
        <f t="shared" si="979" ref="AR396:AT402">AR345-AQ345</f>
        <v>-500</v>
      </c>
      <c r="AS396" s="176">
        <f t="shared" si="979"/>
        <v>-526</v>
      </c>
      <c r="AT396" s="176">
        <f t="shared" si="979"/>
        <v>-625</v>
      </c>
      <c r="AU396" s="971">
        <f t="shared" si="980" ref="AU396:AV396">AU345</f>
        <v>-2301</v>
      </c>
      <c r="AV396" s="176">
        <f t="shared" si="980"/>
        <v>-500</v>
      </c>
      <c r="AW396" s="176">
        <f t="shared" si="981" ref="AW396">AW345-AV345</f>
        <v>-650</v>
      </c>
      <c r="AX396" s="176">
        <f t="shared" si="982" ref="AX396:AY402">AX345-AW345</f>
        <v>-651</v>
      </c>
      <c r="AY396" s="176">
        <f t="shared" si="982"/>
        <v>-600</v>
      </c>
      <c r="AZ396" s="971">
        <f t="shared" si="983" ref="AZ396:BA396">AZ345</f>
        <v>-2401</v>
      </c>
      <c r="BA396" s="176">
        <f t="shared" si="983"/>
        <v>-700</v>
      </c>
      <c r="BB396" s="176">
        <f t="shared" si="984" ref="BB396:BC402">BB345-BA345</f>
        <v>-700</v>
      </c>
      <c r="BC396" s="176">
        <f t="shared" si="984"/>
        <v>-700</v>
      </c>
      <c r="BD396" s="176">
        <f t="shared" si="985" ref="BD396:BD402">BD345-BC345</f>
        <v>-701</v>
      </c>
      <c r="BE396" s="971">
        <f t="shared" si="986" ref="BE396:BF396">BE345</f>
        <v>-2801</v>
      </c>
      <c r="BF396" s="176">
        <f t="shared" si="986"/>
        <v>-750</v>
      </c>
      <c r="BG396" s="176">
        <f t="shared" si="987" ref="BG396:BG402">BG345-BF345</f>
        <v>-800</v>
      </c>
      <c r="BH396" s="551">
        <f t="shared" si="988" ref="BH396:BH402">BH345-BG345</f>
        <v>-500</v>
      </c>
      <c r="BI396" s="176">
        <f>BI291</f>
        <v>0</v>
      </c>
      <c r="BJ396" s="971">
        <f t="shared" si="989" ref="BJ396:BJ402">SUM(BF396,BG396,BH396,BI396)</f>
        <v>-2050</v>
      </c>
      <c r="BK396" s="176">
        <f>BK291</f>
        <v>0</v>
      </c>
      <c r="BL396" s="176">
        <f>BL291</f>
        <v>0</v>
      </c>
      <c r="BM396" s="176">
        <f>BM291</f>
        <v>0</v>
      </c>
      <c r="BN396" s="176">
        <f>BN291</f>
        <v>0</v>
      </c>
      <c r="BO396" s="971">
        <f t="shared" si="990" ref="BO396:BO402">SUM(BK396,BL396,BM396,BN396)</f>
        <v>0</v>
      </c>
      <c r="BP396" s="971">
        <f>BP291</f>
        <v>0</v>
      </c>
      <c r="BQ396" s="971">
        <f>BQ291</f>
        <v>0</v>
      </c>
      <c r="BR396" s="971">
        <f>BR291</f>
        <v>0</v>
      </c>
      <c r="BS396" s="113"/>
    </row>
    <row r="397" spans="1:71" s="224" customFormat="1" ht="15">
      <c r="A397" s="362" t="str">
        <f t="shared" si="963"/>
        <v>Proceeds from borrowings</v>
      </c>
      <c r="B397" s="176"/>
      <c r="C397" s="971">
        <f t="shared" si="964"/>
        <v>1405</v>
      </c>
      <c r="D397" s="971">
        <f t="shared" si="964"/>
        <v>748</v>
      </c>
      <c r="E397" s="971">
        <f t="shared" si="964"/>
        <v>620</v>
      </c>
      <c r="F397" s="971">
        <f t="shared" si="964"/>
        <v>1506</v>
      </c>
      <c r="G397" s="971">
        <f t="shared" si="964"/>
        <v>700</v>
      </c>
      <c r="H397" s="176">
        <f t="shared" si="964"/>
        <v>0</v>
      </c>
      <c r="I397" s="176">
        <f t="shared" si="965"/>
        <v>0</v>
      </c>
      <c r="J397" s="176">
        <f t="shared" si="965"/>
        <v>0</v>
      </c>
      <c r="K397" s="176">
        <f t="shared" si="965"/>
        <v>750</v>
      </c>
      <c r="L397" s="971">
        <f t="shared" si="966"/>
        <v>750</v>
      </c>
      <c r="M397" s="176">
        <f t="shared" si="966"/>
        <v>989</v>
      </c>
      <c r="N397" s="176">
        <f t="shared" si="967"/>
        <v>9</v>
      </c>
      <c r="O397" s="176">
        <f t="shared" si="967"/>
        <v>0</v>
      </c>
      <c r="P397" s="176">
        <f t="shared" si="967"/>
        <v>0</v>
      </c>
      <c r="Q397" s="971">
        <f t="shared" si="968"/>
        <v>998</v>
      </c>
      <c r="R397" s="176">
        <f t="shared" si="968"/>
        <v>0</v>
      </c>
      <c r="S397" s="176">
        <f t="shared" si="969"/>
        <v>0</v>
      </c>
      <c r="T397" s="176">
        <f t="shared" si="969"/>
        <v>988</v>
      </c>
      <c r="U397" s="176">
        <f t="shared" si="969"/>
        <v>-2</v>
      </c>
      <c r="V397" s="971">
        <f t="shared" si="970"/>
        <v>986</v>
      </c>
      <c r="W397" s="176">
        <f t="shared" si="970"/>
        <v>524</v>
      </c>
      <c r="X397" s="176">
        <f t="shared" si="971"/>
        <v>0</v>
      </c>
      <c r="Y397" s="176">
        <f t="shared" si="971"/>
        <v>0</v>
      </c>
      <c r="Z397" s="176">
        <f t="shared" si="971"/>
        <v>516</v>
      </c>
      <c r="AA397" s="971">
        <f t="shared" si="972"/>
        <v>1040</v>
      </c>
      <c r="AB397" s="176">
        <f t="shared" si="972"/>
        <v>2</v>
      </c>
      <c r="AC397" s="176">
        <f t="shared" si="973"/>
        <v>-2</v>
      </c>
      <c r="AD397" s="176">
        <f t="shared" si="973"/>
        <v>0</v>
      </c>
      <c r="AE397" s="176">
        <f t="shared" si="973"/>
        <v>1020</v>
      </c>
      <c r="AF397" s="971">
        <f t="shared" si="974"/>
        <v>1020</v>
      </c>
      <c r="AG397" s="176">
        <f t="shared" si="974"/>
        <v>0</v>
      </c>
      <c r="AH397" s="176">
        <f t="shared" si="975"/>
        <v>268</v>
      </c>
      <c r="AI397" s="176">
        <f t="shared" si="975"/>
        <v>0</v>
      </c>
      <c r="AJ397" s="176">
        <f t="shared" si="975"/>
        <v>347</v>
      </c>
      <c r="AK397" s="971">
        <f t="shared" si="976"/>
        <v>615</v>
      </c>
      <c r="AL397" s="176">
        <f t="shared" si="976"/>
        <v>545</v>
      </c>
      <c r="AM397" s="176">
        <f t="shared" si="977"/>
        <v>1000</v>
      </c>
      <c r="AN397" s="176">
        <f t="shared" si="977"/>
        <v>0</v>
      </c>
      <c r="AO397" s="176">
        <f t="shared" si="977"/>
        <v>0</v>
      </c>
      <c r="AP397" s="971">
        <f t="shared" si="991" ref="AP397:AQ397">AP346</f>
        <v>1545</v>
      </c>
      <c r="AQ397" s="176">
        <f t="shared" si="991"/>
        <v>400</v>
      </c>
      <c r="AR397" s="176">
        <f t="shared" si="979"/>
        <v>753</v>
      </c>
      <c r="AS397" s="176">
        <f t="shared" si="979"/>
        <v>0</v>
      </c>
      <c r="AT397" s="176">
        <f t="shared" si="979"/>
        <v>0</v>
      </c>
      <c r="AU397" s="971">
        <f t="shared" si="992" ref="AU397:AV397">AU346</f>
        <v>1153</v>
      </c>
      <c r="AV397" s="176">
        <f t="shared" si="992"/>
        <v>0</v>
      </c>
      <c r="AW397" s="176">
        <f t="shared" si="993" ref="AW397:AW402">AW346-AV346</f>
        <v>0</v>
      </c>
      <c r="AX397" s="176">
        <f t="shared" si="982"/>
        <v>1277</v>
      </c>
      <c r="AY397" s="176">
        <f t="shared" si="982"/>
        <v>0</v>
      </c>
      <c r="AZ397" s="971">
        <f t="shared" si="994" ref="AZ397:BA397">AZ346</f>
        <v>1277</v>
      </c>
      <c r="BA397" s="176">
        <f t="shared" si="994"/>
        <v>0</v>
      </c>
      <c r="BB397" s="176">
        <f t="shared" si="984"/>
        <v>0</v>
      </c>
      <c r="BC397" s="176">
        <f t="shared" si="984"/>
        <v>0</v>
      </c>
      <c r="BD397" s="176">
        <f t="shared" si="985"/>
        <v>204</v>
      </c>
      <c r="BE397" s="971">
        <f t="shared" si="995" ref="BE397:BF397">BE346</f>
        <v>204</v>
      </c>
      <c r="BF397" s="176">
        <f t="shared" si="995"/>
        <v>823</v>
      </c>
      <c r="BG397" s="176">
        <f t="shared" si="987"/>
        <v>0</v>
      </c>
      <c r="BH397" s="551">
        <f t="shared" si="988"/>
        <v>0</v>
      </c>
      <c r="BI397" s="176">
        <f>MAX(BI284-BH284,0)</f>
        <v>0</v>
      </c>
      <c r="BJ397" s="971">
        <f t="shared" si="989"/>
        <v>823</v>
      </c>
      <c r="BK397" s="176">
        <f>MAX(BK284-BJ284,0)</f>
        <v>0</v>
      </c>
      <c r="BL397" s="176">
        <f>MAX(BL284-BK284,0)</f>
        <v>0</v>
      </c>
      <c r="BM397" s="176">
        <f>MAX(BM284-BL284,0)</f>
        <v>0</v>
      </c>
      <c r="BN397" s="176">
        <f>MAX(BN284-BM284,0)</f>
        <v>0</v>
      </c>
      <c r="BO397" s="971">
        <f t="shared" si="990"/>
        <v>0</v>
      </c>
      <c r="BP397" s="971">
        <f>MAX(BP284-BO284,0)</f>
        <v>0</v>
      </c>
      <c r="BQ397" s="971">
        <f>MAX(BQ284-BP284,0)</f>
        <v>0</v>
      </c>
      <c r="BR397" s="971">
        <f>MAX(BR284-BQ284,0)</f>
        <v>0</v>
      </c>
      <c r="BS397" s="113"/>
    </row>
    <row r="398" spans="1:71" s="224" customFormat="1" ht="15">
      <c r="A398" s="362" t="str">
        <f t="shared" si="963"/>
        <v>Principal payments under debt obligations</v>
      </c>
      <c r="B398" s="176"/>
      <c r="C398" s="971">
        <f t="shared" si="964"/>
        <v>-560</v>
      </c>
      <c r="D398" s="971">
        <f t="shared" si="964"/>
        <v>-451</v>
      </c>
      <c r="E398" s="971">
        <f t="shared" si="964"/>
        <v>-462</v>
      </c>
      <c r="F398" s="971">
        <f t="shared" si="964"/>
        <v>-341</v>
      </c>
      <c r="G398" s="971">
        <f t="shared" si="964"/>
        <v>0</v>
      </c>
      <c r="H398" s="176">
        <f t="shared" si="964"/>
        <v>0</v>
      </c>
      <c r="I398" s="176">
        <f t="shared" si="965"/>
        <v>0</v>
      </c>
      <c r="J398" s="176">
        <f t="shared" si="965"/>
        <v>-335</v>
      </c>
      <c r="K398" s="176">
        <f t="shared" si="965"/>
        <v>0</v>
      </c>
      <c r="L398" s="971">
        <f t="shared" si="966"/>
        <v>-335</v>
      </c>
      <c r="M398" s="176">
        <f t="shared" si="966"/>
        <v>0</v>
      </c>
      <c r="N398" s="176">
        <f t="shared" si="967"/>
        <v>-850</v>
      </c>
      <c r="O398" s="176">
        <f t="shared" si="967"/>
        <v>-422</v>
      </c>
      <c r="P398" s="176">
        <f t="shared" si="967"/>
        <v>0</v>
      </c>
      <c r="Q398" s="971">
        <f t="shared" si="968"/>
        <v>-1272</v>
      </c>
      <c r="R398" s="176">
        <f t="shared" si="968"/>
        <v>0</v>
      </c>
      <c r="S398" s="176">
        <f t="shared" si="969"/>
        <v>-1</v>
      </c>
      <c r="T398" s="176">
        <f t="shared" si="969"/>
        <v>-231</v>
      </c>
      <c r="U398" s="176">
        <f t="shared" si="969"/>
        <v>-378</v>
      </c>
      <c r="V398" s="971">
        <f t="shared" si="970"/>
        <v>-610</v>
      </c>
      <c r="W398" s="176">
        <f t="shared" si="970"/>
        <v>-654</v>
      </c>
      <c r="X398" s="176">
        <f t="shared" si="971"/>
        <v>-2</v>
      </c>
      <c r="Y398" s="176">
        <f t="shared" si="971"/>
        <v>-4</v>
      </c>
      <c r="Z398" s="176">
        <f t="shared" si="971"/>
        <v>-501</v>
      </c>
      <c r="AA398" s="971">
        <f t="shared" si="972"/>
        <v>-1161</v>
      </c>
      <c r="AB398" s="176">
        <f t="shared" si="972"/>
        <v>0</v>
      </c>
      <c r="AC398" s="176">
        <f t="shared" si="973"/>
        <v>0</v>
      </c>
      <c r="AD398" s="176">
        <f t="shared" si="973"/>
        <v>0</v>
      </c>
      <c r="AE398" s="176">
        <f t="shared" si="973"/>
        <v>-550</v>
      </c>
      <c r="AF398" s="971">
        <f t="shared" si="974"/>
        <v>-550</v>
      </c>
      <c r="AG398" s="176">
        <f t="shared" si="974"/>
        <v>0</v>
      </c>
      <c r="AH398" s="176">
        <f t="shared" si="975"/>
        <v>0</v>
      </c>
      <c r="AI398" s="176">
        <f t="shared" si="975"/>
        <v>0</v>
      </c>
      <c r="AJ398" s="176">
        <f t="shared" si="975"/>
        <v>0</v>
      </c>
      <c r="AK398" s="971">
        <f t="shared" si="976"/>
        <v>0</v>
      </c>
      <c r="AL398" s="176">
        <f t="shared" si="976"/>
        <v>-350</v>
      </c>
      <c r="AM398" s="176">
        <f t="shared" si="977"/>
        <v>0</v>
      </c>
      <c r="AN398" s="176">
        <f t="shared" si="977"/>
        <v>0</v>
      </c>
      <c r="AO398" s="176">
        <f t="shared" si="977"/>
        <v>0</v>
      </c>
      <c r="AP398" s="971">
        <f t="shared" si="996" ref="AP398:AQ398">AP347</f>
        <v>-350</v>
      </c>
      <c r="AQ398" s="176">
        <f t="shared" si="996"/>
        <v>0</v>
      </c>
      <c r="AR398" s="176">
        <f t="shared" si="979"/>
        <v>-700</v>
      </c>
      <c r="AS398" s="176">
        <f t="shared" si="979"/>
        <v>0</v>
      </c>
      <c r="AT398" s="176">
        <f t="shared" si="979"/>
        <v>0</v>
      </c>
      <c r="AU398" s="971">
        <f t="shared" si="997" ref="AU398:AV398">AU347</f>
        <v>-700</v>
      </c>
      <c r="AV398" s="176">
        <f t="shared" si="997"/>
        <v>0</v>
      </c>
      <c r="AW398" s="176">
        <f t="shared" si="993"/>
        <v>0</v>
      </c>
      <c r="AX398" s="176">
        <f t="shared" si="982"/>
        <v>-966</v>
      </c>
      <c r="AY398" s="176">
        <f t="shared" si="982"/>
        <v>-450</v>
      </c>
      <c r="AZ398" s="971">
        <f t="shared" si="998" ref="AZ398:BA398">AZ347</f>
        <v>-1416</v>
      </c>
      <c r="BA398" s="176">
        <f t="shared" si="998"/>
        <v>0</v>
      </c>
      <c r="BB398" s="176">
        <f t="shared" si="984"/>
        <v>0</v>
      </c>
      <c r="BC398" s="176">
        <f t="shared" si="984"/>
        <v>0</v>
      </c>
      <c r="BD398" s="176">
        <f t="shared" si="985"/>
        <v>0</v>
      </c>
      <c r="BE398" s="971">
        <f t="shared" si="999" ref="BE398:BF398">BE347</f>
        <v>0</v>
      </c>
      <c r="BF398" s="176">
        <f t="shared" si="999"/>
        <v>0</v>
      </c>
      <c r="BG398" s="176">
        <f t="shared" si="987"/>
        <v>-194</v>
      </c>
      <c r="BH398" s="551">
        <f t="shared" si="988"/>
        <v>0</v>
      </c>
      <c r="BI398" s="176">
        <f>MIN(BI284-BH284,0)</f>
        <v>0</v>
      </c>
      <c r="BJ398" s="971">
        <f t="shared" si="989"/>
        <v>-194</v>
      </c>
      <c r="BK398" s="176">
        <f>MIN(BK284-BJ284,0)</f>
        <v>0</v>
      </c>
      <c r="BL398" s="176">
        <f>MIN(BL284-BK284,0)</f>
        <v>0</v>
      </c>
      <c r="BM398" s="176">
        <f>MIN(BM284-BL284,0)</f>
        <v>0</v>
      </c>
      <c r="BN398" s="176">
        <f>MIN(BN284-BM284,0)</f>
        <v>0</v>
      </c>
      <c r="BO398" s="971">
        <f t="shared" si="990"/>
        <v>0</v>
      </c>
      <c r="BP398" s="971">
        <f>MIN(BP284-BO284,0)</f>
        <v>0</v>
      </c>
      <c r="BQ398" s="971">
        <f>MIN(BQ284-BP284,0)</f>
        <v>0</v>
      </c>
      <c r="BR398" s="971">
        <f>MIN(BR284-BQ284,0)</f>
        <v>0</v>
      </c>
      <c r="BS398" s="113"/>
    </row>
    <row r="399" spans="1:71" s="224" customFormat="1" ht="15">
      <c r="A399" s="362" t="str">
        <f t="shared" si="963"/>
        <v>Dividends paid to shareholders</v>
      </c>
      <c r="B399" s="176"/>
      <c r="C399" s="971">
        <f t="shared" si="964"/>
        <v>-524</v>
      </c>
      <c r="D399" s="971">
        <f t="shared" si="964"/>
        <v>-535</v>
      </c>
      <c r="E399" s="971">
        <f t="shared" si="964"/>
        <v>-552</v>
      </c>
      <c r="F399" s="971">
        <f t="shared" si="964"/>
        <v>-603</v>
      </c>
      <c r="G399" s="971">
        <f t="shared" si="964"/>
        <v>-635</v>
      </c>
      <c r="H399" s="176">
        <f t="shared" si="964"/>
        <v>-163</v>
      </c>
      <c r="I399" s="176">
        <f t="shared" si="965"/>
        <v>-161</v>
      </c>
      <c r="J399" s="176">
        <f t="shared" si="965"/>
        <v>-162</v>
      </c>
      <c r="K399" s="176">
        <f t="shared" si="965"/>
        <v>-168</v>
      </c>
      <c r="L399" s="971">
        <f t="shared" si="966"/>
        <v>-654</v>
      </c>
      <c r="M399" s="176">
        <f t="shared" si="966"/>
        <v>-165</v>
      </c>
      <c r="N399" s="176">
        <f t="shared" si="967"/>
        <v>-163</v>
      </c>
      <c r="O399" s="176">
        <f t="shared" si="967"/>
        <v>-161</v>
      </c>
      <c r="P399" s="176">
        <f t="shared" si="967"/>
        <v>-167</v>
      </c>
      <c r="Q399" s="971">
        <f t="shared" si="968"/>
        <v>-656</v>
      </c>
      <c r="R399" s="176">
        <f t="shared" si="968"/>
        <v>-167</v>
      </c>
      <c r="S399" s="176">
        <f t="shared" si="969"/>
        <v>-163</v>
      </c>
      <c r="T399" s="176">
        <f t="shared" si="969"/>
        <v>-162</v>
      </c>
      <c r="U399" s="176">
        <f t="shared" si="969"/>
        <v>-166</v>
      </c>
      <c r="V399" s="971">
        <f t="shared" si="970"/>
        <v>-658</v>
      </c>
      <c r="W399" s="176">
        <f t="shared" si="970"/>
        <v>-166</v>
      </c>
      <c r="X399" s="176">
        <f t="shared" si="971"/>
        <v>-162</v>
      </c>
      <c r="Y399" s="176">
        <f t="shared" si="971"/>
        <v>-163</v>
      </c>
      <c r="Z399" s="176">
        <f t="shared" si="971"/>
        <v>-170</v>
      </c>
      <c r="AA399" s="971">
        <f t="shared" si="972"/>
        <v>-661</v>
      </c>
      <c r="AB399" s="176">
        <f t="shared" si="972"/>
        <v>-195</v>
      </c>
      <c r="AC399" s="176">
        <f t="shared" si="973"/>
        <v>-201</v>
      </c>
      <c r="AD399" s="176">
        <f t="shared" si="973"/>
        <v>-199</v>
      </c>
      <c r="AE399" s="176">
        <f t="shared" si="973"/>
        <v>-198</v>
      </c>
      <c r="AF399" s="971">
        <f t="shared" si="974"/>
        <v>-793</v>
      </c>
      <c r="AG399" s="176">
        <f t="shared" si="974"/>
        <v>-195</v>
      </c>
      <c r="AH399" s="176">
        <f t="shared" si="975"/>
        <v>-194</v>
      </c>
      <c r="AI399" s="176">
        <f t="shared" si="975"/>
        <v>-190</v>
      </c>
      <c r="AJ399" s="176">
        <f t="shared" si="975"/>
        <v>-192</v>
      </c>
      <c r="AK399" s="971">
        <f t="shared" si="976"/>
        <v>-771</v>
      </c>
      <c r="AL399" s="176">
        <f t="shared" si="976"/>
        <v>-195</v>
      </c>
      <c r="AM399" s="176">
        <f t="shared" si="977"/>
        <v>-193</v>
      </c>
      <c r="AN399" s="176">
        <f t="shared" si="977"/>
        <v>-192</v>
      </c>
      <c r="AO399" s="176">
        <f t="shared" si="977"/>
        <v>-189</v>
      </c>
      <c r="AP399" s="971">
        <f t="shared" si="1000" ref="AP399:AQ399">AP348</f>
        <v>-769</v>
      </c>
      <c r="AQ399" s="176">
        <f t="shared" si="1000"/>
        <v>-219</v>
      </c>
      <c r="AR399" s="176">
        <f t="shared" si="979"/>
        <v>-211</v>
      </c>
      <c r="AS399" s="176">
        <f t="shared" si="979"/>
        <v>-217</v>
      </c>
      <c r="AT399" s="176">
        <f t="shared" si="979"/>
        <v>-208</v>
      </c>
      <c r="AU399" s="971">
        <f t="shared" si="1001" ref="AU399:AV399">AU348</f>
        <v>-855</v>
      </c>
      <c r="AV399" s="176">
        <f t="shared" si="1001"/>
        <v>-250</v>
      </c>
      <c r="AW399" s="176">
        <f t="shared" si="993"/>
        <v>-248</v>
      </c>
      <c r="AX399" s="176">
        <f t="shared" si="982"/>
        <v>-242</v>
      </c>
      <c r="AY399" s="176">
        <f t="shared" si="982"/>
        <v>-239</v>
      </c>
      <c r="AZ399" s="971">
        <f t="shared" si="1002" ref="AZ399:BA399">AZ348</f>
        <v>-979</v>
      </c>
      <c r="BA399" s="176">
        <f t="shared" si="1002"/>
        <v>-248</v>
      </c>
      <c r="BB399" s="176">
        <f t="shared" si="984"/>
        <v>-243</v>
      </c>
      <c r="BC399" s="176">
        <f t="shared" si="984"/>
        <v>-239</v>
      </c>
      <c r="BD399" s="176">
        <f t="shared" si="985"/>
        <v>-236</v>
      </c>
      <c r="BE399" s="971">
        <f t="shared" si="1003" ref="BE399:BF399">BE348</f>
        <v>-966</v>
      </c>
      <c r="BF399" s="176">
        <f t="shared" si="1003"/>
        <v>-278</v>
      </c>
      <c r="BG399" s="176">
        <f t="shared" si="987"/>
        <v>-272</v>
      </c>
      <c r="BH399" s="551">
        <f t="shared" si="988"/>
        <v>-270</v>
      </c>
      <c r="BI399" s="176">
        <f ca="1">+BI259</f>
        <v>-278.35849999999999</v>
      </c>
      <c r="BJ399" s="971">
        <f t="shared" ca="1" si="989"/>
        <v>-1098.3585</v>
      </c>
      <c r="BK399" s="176">
        <f ca="1">+BK259</f>
        <v>-278.35849999999999</v>
      </c>
      <c r="BL399" s="176">
        <f ca="1">+BL259</f>
        <v>-278.35849999999999</v>
      </c>
      <c r="BM399" s="176">
        <f ca="1">+BM259</f>
        <v>-278.35849999999999</v>
      </c>
      <c r="BN399" s="176">
        <f ca="1">+BN259</f>
        <v>-278.35849999999999</v>
      </c>
      <c r="BO399" s="971">
        <f t="shared" ca="1" si="990"/>
        <v>-1113.434</v>
      </c>
      <c r="BP399" s="971">
        <f ca="1">+BP259</f>
        <v>-1113.434</v>
      </c>
      <c r="BQ399" s="971">
        <f ca="1">+BQ259</f>
        <v>-1113.434</v>
      </c>
      <c r="BR399" s="971">
        <f ca="1">+BR259</f>
        <v>-1113.434</v>
      </c>
      <c r="BS399" s="113"/>
    </row>
    <row r="400" spans="1:71" s="224" customFormat="1" ht="15">
      <c r="A400" s="362" t="str">
        <f t="shared" si="963"/>
        <v>Change in investment-type contracts, net</v>
      </c>
      <c r="B400" s="176"/>
      <c r="C400" s="971">
        <f t="shared" si="964"/>
        <v>364</v>
      </c>
      <c r="D400" s="971">
        <f t="shared" si="964"/>
        <v>419</v>
      </c>
      <c r="E400" s="971">
        <f t="shared" si="964"/>
        <v>733</v>
      </c>
      <c r="F400" s="971">
        <f t="shared" si="964"/>
        <v>1457</v>
      </c>
      <c r="G400" s="971">
        <f t="shared" si="964"/>
        <v>1790</v>
      </c>
      <c r="H400" s="176">
        <f t="shared" si="964"/>
        <v>536</v>
      </c>
      <c r="I400" s="176">
        <f t="shared" si="965"/>
        <v>487</v>
      </c>
      <c r="J400" s="176">
        <f t="shared" si="965"/>
        <v>143</v>
      </c>
      <c r="K400" s="176">
        <f t="shared" si="965"/>
        <v>87</v>
      </c>
      <c r="L400" s="971">
        <f t="shared" si="966"/>
        <v>1253</v>
      </c>
      <c r="M400" s="176">
        <f t="shared" si="966"/>
        <v>84</v>
      </c>
      <c r="N400" s="176">
        <f t="shared" si="967"/>
        <v>63</v>
      </c>
      <c r="O400" s="176">
        <f t="shared" si="967"/>
        <v>66</v>
      </c>
      <c r="P400" s="176">
        <f t="shared" si="967"/>
        <v>43</v>
      </c>
      <c r="Q400" s="971">
        <f t="shared" si="968"/>
        <v>256</v>
      </c>
      <c r="R400" s="176">
        <f t="shared" si="968"/>
        <v>45</v>
      </c>
      <c r="S400" s="176">
        <f t="shared" si="969"/>
        <v>37</v>
      </c>
      <c r="T400" s="176">
        <f t="shared" si="969"/>
        <v>35</v>
      </c>
      <c r="U400" s="176">
        <f t="shared" si="969"/>
        <v>42</v>
      </c>
      <c r="V400" s="971">
        <f t="shared" si="970"/>
        <v>159</v>
      </c>
      <c r="W400" s="176">
        <f t="shared" si="970"/>
        <v>18</v>
      </c>
      <c r="X400" s="176">
        <f t="shared" si="971"/>
        <v>5</v>
      </c>
      <c r="Y400" s="176">
        <f t="shared" si="971"/>
        <v>16</v>
      </c>
      <c r="Z400" s="176">
        <f t="shared" si="971"/>
        <v>-4</v>
      </c>
      <c r="AA400" s="971">
        <f t="shared" si="972"/>
        <v>35</v>
      </c>
      <c r="AB400" s="176">
        <f t="shared" si="972"/>
        <v>7</v>
      </c>
      <c r="AC400" s="176">
        <f t="shared" si="973"/>
        <v>2</v>
      </c>
      <c r="AD400" s="176">
        <f t="shared" si="973"/>
        <v>-26</v>
      </c>
      <c r="AE400" s="176">
        <f t="shared" si="973"/>
        <v>-14</v>
      </c>
      <c r="AF400" s="971">
        <f t="shared" si="974"/>
        <v>-31</v>
      </c>
      <c r="AG400" s="176">
        <f t="shared" si="974"/>
        <v>-13</v>
      </c>
      <c r="AH400" s="176">
        <f t="shared" si="975"/>
        <v>-21</v>
      </c>
      <c r="AI400" s="176">
        <f t="shared" si="975"/>
        <v>34</v>
      </c>
      <c r="AJ400" s="176">
        <f t="shared" si="975"/>
        <v>-1</v>
      </c>
      <c r="AK400" s="971">
        <f t="shared" si="976"/>
        <v>-1</v>
      </c>
      <c r="AL400" s="176">
        <f t="shared" si="976"/>
        <v>-5</v>
      </c>
      <c r="AM400" s="176">
        <f t="shared" si="977"/>
        <v>-12</v>
      </c>
      <c r="AN400" s="176">
        <f t="shared" si="977"/>
        <v>10</v>
      </c>
      <c r="AO400" s="176">
        <f t="shared" si="977"/>
        <v>-4</v>
      </c>
      <c r="AP400" s="971">
        <f t="shared" si="1004" ref="AP400:AQ400">AP349</f>
        <v>-11</v>
      </c>
      <c r="AQ400" s="176">
        <f t="shared" si="1004"/>
        <v>-12</v>
      </c>
      <c r="AR400" s="176">
        <f t="shared" si="979"/>
        <v>-12</v>
      </c>
      <c r="AS400" s="176">
        <f t="shared" si="979"/>
        <v>-1</v>
      </c>
      <c r="AT400" s="176">
        <f t="shared" si="979"/>
        <v>-11</v>
      </c>
      <c r="AU400" s="971">
        <f t="shared" si="1005" ref="AU400:AV400">AU349</f>
        <v>-36</v>
      </c>
      <c r="AV400" s="176">
        <f t="shared" si="1005"/>
        <v>-21</v>
      </c>
      <c r="AW400" s="176">
        <f t="shared" si="993"/>
        <v>-20</v>
      </c>
      <c r="AX400" s="176">
        <f t="shared" si="982"/>
        <v>-20</v>
      </c>
      <c r="AY400" s="176">
        <f t="shared" si="982"/>
        <v>-22</v>
      </c>
      <c r="AZ400" s="971">
        <f t="shared" si="1006" ref="AZ400:BA400">AZ349</f>
        <v>-83</v>
      </c>
      <c r="BA400" s="176">
        <f t="shared" si="1006"/>
        <v>-28</v>
      </c>
      <c r="BB400" s="176">
        <f t="shared" si="984"/>
        <v>-36</v>
      </c>
      <c r="BC400" s="176">
        <f t="shared" si="984"/>
        <v>-50</v>
      </c>
      <c r="BD400" s="176">
        <f t="shared" si="985"/>
        <v>-46</v>
      </c>
      <c r="BE400" s="971">
        <f t="shared" si="1007" ref="BE400:BF400">BE349</f>
        <v>-160</v>
      </c>
      <c r="BF400" s="176">
        <f t="shared" si="1007"/>
        <v>-50</v>
      </c>
      <c r="BG400" s="176">
        <f t="shared" si="987"/>
        <v>-53</v>
      </c>
      <c r="BH400" s="551">
        <f t="shared" si="988"/>
        <v>-59</v>
      </c>
      <c r="BI400" s="176"/>
      <c r="BJ400" s="971">
        <f t="shared" si="989"/>
        <v>-162</v>
      </c>
      <c r="BK400" s="176"/>
      <c r="BL400" s="176"/>
      <c r="BM400" s="176"/>
      <c r="BN400" s="176"/>
      <c r="BO400" s="971">
        <f t="shared" si="990"/>
        <v>0</v>
      </c>
      <c r="BP400" s="971"/>
      <c r="BQ400" s="971"/>
      <c r="BR400" s="971"/>
      <c r="BS400" s="113"/>
    </row>
    <row r="401" spans="1:71" s="224" customFormat="1" ht="15">
      <c r="A401" s="362" t="str">
        <f t="shared" si="963"/>
        <v>Treasury stock reissued</v>
      </c>
      <c r="B401" s="176"/>
      <c r="C401" s="971">
        <f t="shared" si="964"/>
        <v>17</v>
      </c>
      <c r="D401" s="971">
        <f t="shared" si="964"/>
        <v>45</v>
      </c>
      <c r="E401" s="971">
        <f t="shared" si="964"/>
        <v>26</v>
      </c>
      <c r="F401" s="971">
        <f t="shared" si="964"/>
        <v>32</v>
      </c>
      <c r="G401" s="971">
        <f t="shared" si="964"/>
        <v>88</v>
      </c>
      <c r="H401" s="176">
        <f t="shared" si="964"/>
        <v>16</v>
      </c>
      <c r="I401" s="176">
        <f t="shared" si="965"/>
        <v>5</v>
      </c>
      <c r="J401" s="176">
        <f t="shared" si="965"/>
        <v>4</v>
      </c>
      <c r="K401" s="176">
        <f t="shared" si="965"/>
        <v>8</v>
      </c>
      <c r="L401" s="971">
        <f t="shared" si="966"/>
        <v>33</v>
      </c>
      <c r="M401" s="176">
        <f t="shared" si="966"/>
        <v>13</v>
      </c>
      <c r="N401" s="176">
        <f t="shared" si="967"/>
        <v>7</v>
      </c>
      <c r="O401" s="176">
        <f t="shared" si="967"/>
        <v>8</v>
      </c>
      <c r="P401" s="176">
        <f t="shared" si="967"/>
        <v>8</v>
      </c>
      <c r="Q401" s="971">
        <f t="shared" si="968"/>
        <v>36</v>
      </c>
      <c r="R401" s="176">
        <f t="shared" si="968"/>
        <v>7</v>
      </c>
      <c r="S401" s="176">
        <f t="shared" si="969"/>
        <v>12</v>
      </c>
      <c r="T401" s="176">
        <f t="shared" si="969"/>
        <v>18</v>
      </c>
      <c r="U401" s="176">
        <f t="shared" si="969"/>
        <v>9</v>
      </c>
      <c r="V401" s="971">
        <f t="shared" si="970"/>
        <v>46</v>
      </c>
      <c r="W401" s="176">
        <f t="shared" si="970"/>
        <v>11</v>
      </c>
      <c r="X401" s="176">
        <f t="shared" si="971"/>
        <v>6</v>
      </c>
      <c r="Y401" s="176">
        <f t="shared" si="971"/>
        <v>6</v>
      </c>
      <c r="Z401" s="176">
        <f t="shared" si="971"/>
        <v>10</v>
      </c>
      <c r="AA401" s="971">
        <f t="shared" si="972"/>
        <v>33</v>
      </c>
      <c r="AB401" s="176">
        <f t="shared" si="972"/>
        <v>14</v>
      </c>
      <c r="AC401" s="176">
        <f t="shared" si="973"/>
        <v>-2</v>
      </c>
      <c r="AD401" s="176">
        <f t="shared" si="973"/>
        <v>24</v>
      </c>
      <c r="AE401" s="176">
        <f t="shared" si="973"/>
        <v>22</v>
      </c>
      <c r="AF401" s="971">
        <f t="shared" si="974"/>
        <v>58</v>
      </c>
      <c r="AG401" s="176">
        <f t="shared" si="974"/>
        <v>12</v>
      </c>
      <c r="AH401" s="176">
        <f t="shared" si="975"/>
        <v>14</v>
      </c>
      <c r="AI401" s="176">
        <f t="shared" si="975"/>
        <v>12</v>
      </c>
      <c r="AJ401" s="176">
        <f t="shared" si="975"/>
        <v>11</v>
      </c>
      <c r="AK401" s="971">
        <f t="shared" si="976"/>
        <v>49</v>
      </c>
      <c r="AL401" s="176">
        <f t="shared" si="976"/>
        <v>9</v>
      </c>
      <c r="AM401" s="176">
        <f t="shared" si="977"/>
        <v>12</v>
      </c>
      <c r="AN401" s="176">
        <f t="shared" si="977"/>
        <v>6</v>
      </c>
      <c r="AO401" s="176">
        <f t="shared" si="977"/>
        <v>7</v>
      </c>
      <c r="AP401" s="971">
        <f t="shared" si="1008" ref="AP401:AQ401">AP350</f>
        <v>34</v>
      </c>
      <c r="AQ401" s="176">
        <f t="shared" si="1008"/>
        <v>9</v>
      </c>
      <c r="AR401" s="176">
        <f t="shared" si="979"/>
        <v>4</v>
      </c>
      <c r="AS401" s="176">
        <f t="shared" si="979"/>
        <v>0</v>
      </c>
      <c r="AT401" s="176">
        <f t="shared" si="979"/>
        <v>13</v>
      </c>
      <c r="AU401" s="971">
        <f t="shared" si="1009" ref="AU401:AV401">AU350</f>
        <v>26</v>
      </c>
      <c r="AV401" s="176">
        <f t="shared" si="1009"/>
        <v>9</v>
      </c>
      <c r="AW401" s="176">
        <f t="shared" si="993"/>
        <v>1</v>
      </c>
      <c r="AX401" s="176">
        <f t="shared" si="982"/>
        <v>5</v>
      </c>
      <c r="AY401" s="176">
        <f t="shared" si="982"/>
        <v>2</v>
      </c>
      <c r="AZ401" s="971">
        <f t="shared" si="1010" ref="AZ401:BA401">AZ350</f>
        <v>17</v>
      </c>
      <c r="BA401" s="176">
        <f t="shared" si="1010"/>
        <v>2</v>
      </c>
      <c r="BB401" s="176">
        <f t="shared" si="984"/>
        <v>3</v>
      </c>
      <c r="BC401" s="176">
        <f t="shared" si="984"/>
        <v>4</v>
      </c>
      <c r="BD401" s="176">
        <f t="shared" si="985"/>
        <v>8</v>
      </c>
      <c r="BE401" s="971">
        <f t="shared" si="1011" ref="BE401:BF401">BE350</f>
        <v>17</v>
      </c>
      <c r="BF401" s="176">
        <f t="shared" si="1011"/>
        <v>6</v>
      </c>
      <c r="BG401" s="176">
        <f t="shared" si="987"/>
        <v>6</v>
      </c>
      <c r="BH401" s="551">
        <f t="shared" si="988"/>
        <v>9</v>
      </c>
      <c r="BI401" s="176"/>
      <c r="BJ401" s="971">
        <f t="shared" si="989"/>
        <v>21</v>
      </c>
      <c r="BK401" s="176"/>
      <c r="BL401" s="176"/>
      <c r="BM401" s="176"/>
      <c r="BN401" s="176"/>
      <c r="BO401" s="971">
        <f t="shared" si="990"/>
        <v>0</v>
      </c>
      <c r="BP401" s="971"/>
      <c r="BQ401" s="971"/>
      <c r="BR401" s="971"/>
      <c r="BS401" s="113"/>
    </row>
    <row r="402" spans="1:71" s="224" customFormat="1" ht="15">
      <c r="A402" s="364" t="str">
        <f t="shared" si="963"/>
        <v>Other, net</v>
      </c>
      <c r="B402" s="177"/>
      <c r="C402" s="973">
        <f t="shared" si="964"/>
        <v>7</v>
      </c>
      <c r="D402" s="973">
        <f t="shared" si="964"/>
        <v>56</v>
      </c>
      <c r="E402" s="973">
        <f t="shared" si="964"/>
        <v>7</v>
      </c>
      <c r="F402" s="973">
        <f t="shared" si="964"/>
        <v>12</v>
      </c>
      <c r="G402" s="973">
        <f t="shared" si="964"/>
        <v>6</v>
      </c>
      <c r="H402" s="177">
        <f t="shared" si="964"/>
        <v>0</v>
      </c>
      <c r="I402" s="177">
        <f t="shared" si="965"/>
        <v>3</v>
      </c>
      <c r="J402" s="177">
        <f t="shared" si="965"/>
        <v>3</v>
      </c>
      <c r="K402" s="177">
        <f t="shared" si="965"/>
        <v>10</v>
      </c>
      <c r="L402" s="973">
        <f t="shared" si="966"/>
        <v>16</v>
      </c>
      <c r="M402" s="177">
        <f t="shared" si="966"/>
        <v>11</v>
      </c>
      <c r="N402" s="177">
        <f t="shared" si="967"/>
        <v>-237</v>
      </c>
      <c r="O402" s="177">
        <f t="shared" si="967"/>
        <v>3</v>
      </c>
      <c r="P402" s="177">
        <f t="shared" si="967"/>
        <v>-11</v>
      </c>
      <c r="Q402" s="973">
        <f t="shared" si="968"/>
        <v>-234</v>
      </c>
      <c r="R402" s="177">
        <f t="shared" si="968"/>
        <v>-39</v>
      </c>
      <c r="S402" s="177">
        <f t="shared" si="969"/>
        <v>2</v>
      </c>
      <c r="T402" s="177">
        <f t="shared" si="969"/>
        <v>6</v>
      </c>
      <c r="U402" s="177">
        <f t="shared" si="969"/>
        <v>-89</v>
      </c>
      <c r="V402" s="973">
        <f t="shared" si="970"/>
        <v>-120</v>
      </c>
      <c r="W402" s="177">
        <f t="shared" si="970"/>
        <v>1</v>
      </c>
      <c r="X402" s="177">
        <f t="shared" si="971"/>
        <v>1</v>
      </c>
      <c r="Y402" s="177">
        <f t="shared" si="971"/>
        <v>3</v>
      </c>
      <c r="Z402" s="177">
        <f t="shared" si="971"/>
        <v>-5</v>
      </c>
      <c r="AA402" s="973">
        <f t="shared" si="972"/>
        <v>0</v>
      </c>
      <c r="AB402" s="177">
        <f t="shared" si="972"/>
        <v>-5</v>
      </c>
      <c r="AC402" s="177">
        <f t="shared" si="973"/>
        <v>-7</v>
      </c>
      <c r="AD402" s="177">
        <f t="shared" si="973"/>
        <v>-2</v>
      </c>
      <c r="AE402" s="177">
        <f t="shared" si="973"/>
        <v>-5</v>
      </c>
      <c r="AF402" s="973">
        <f t="shared" si="974"/>
        <v>-19</v>
      </c>
      <c r="AG402" s="177">
        <f t="shared" si="974"/>
        <v>0</v>
      </c>
      <c r="AH402" s="177">
        <f t="shared" si="975"/>
        <v>-2</v>
      </c>
      <c r="AI402" s="177">
        <f t="shared" si="975"/>
        <v>3</v>
      </c>
      <c r="AJ402" s="177">
        <f t="shared" si="975"/>
        <v>21</v>
      </c>
      <c r="AK402" s="973">
        <f t="shared" si="976"/>
        <v>22</v>
      </c>
      <c r="AL402" s="177">
        <f t="shared" si="976"/>
        <v>-1</v>
      </c>
      <c r="AM402" s="177">
        <f t="shared" si="977"/>
        <v>-21</v>
      </c>
      <c r="AN402" s="177">
        <f t="shared" si="977"/>
        <v>-7</v>
      </c>
      <c r="AO402" s="177">
        <f t="shared" si="977"/>
        <v>2</v>
      </c>
      <c r="AP402" s="973">
        <f t="shared" si="1012" ref="AP402:AQ402">AP351</f>
        <v>-27</v>
      </c>
      <c r="AQ402" s="177">
        <f t="shared" si="1012"/>
        <v>2</v>
      </c>
      <c r="AR402" s="177">
        <f t="shared" si="979"/>
        <v>-5</v>
      </c>
      <c r="AS402" s="177">
        <f t="shared" si="979"/>
        <v>-12</v>
      </c>
      <c r="AT402" s="177">
        <f t="shared" si="979"/>
        <v>-11</v>
      </c>
      <c r="AU402" s="973">
        <f t="shared" si="1013" ref="AU402:AV402">AU351</f>
        <v>-26</v>
      </c>
      <c r="AV402" s="177">
        <f t="shared" si="1013"/>
        <v>25</v>
      </c>
      <c r="AW402" s="177">
        <f t="shared" si="993"/>
        <v>10</v>
      </c>
      <c r="AX402" s="177">
        <f t="shared" si="982"/>
        <v>-15</v>
      </c>
      <c r="AY402" s="177">
        <f t="shared" si="982"/>
        <v>14</v>
      </c>
      <c r="AZ402" s="973">
        <f t="shared" si="1014" ref="AZ402:BA402">AZ351</f>
        <v>34</v>
      </c>
      <c r="BA402" s="177">
        <f t="shared" si="1014"/>
        <v>41</v>
      </c>
      <c r="BB402" s="177">
        <f t="shared" si="984"/>
        <v>-35</v>
      </c>
      <c r="BC402" s="177">
        <f t="shared" si="984"/>
        <v>-7</v>
      </c>
      <c r="BD402" s="177">
        <f t="shared" si="985"/>
        <v>-16</v>
      </c>
      <c r="BE402" s="973">
        <f t="shared" si="1015" ref="BE402:BF402">BE351</f>
        <v>-17</v>
      </c>
      <c r="BF402" s="177">
        <f t="shared" si="1015"/>
        <v>-7</v>
      </c>
      <c r="BG402" s="177">
        <f t="shared" si="987"/>
        <v>-7</v>
      </c>
      <c r="BH402" s="638">
        <f t="shared" si="988"/>
        <v>-6</v>
      </c>
      <c r="BI402" s="177"/>
      <c r="BJ402" s="973">
        <f t="shared" si="989"/>
        <v>-20</v>
      </c>
      <c r="BK402" s="177"/>
      <c r="BL402" s="177"/>
      <c r="BM402" s="177"/>
      <c r="BN402" s="177"/>
      <c r="BO402" s="973">
        <f t="shared" si="990"/>
        <v>0</v>
      </c>
      <c r="BP402" s="973"/>
      <c r="BQ402" s="973"/>
      <c r="BR402" s="973"/>
      <c r="BS402" s="113"/>
    </row>
    <row r="403" spans="1:71" s="44" customFormat="1" ht="15">
      <c r="A403" s="366" t="str">
        <f t="shared" si="963"/>
        <v>Net CFF</v>
      </c>
      <c r="B403" s="367"/>
      <c r="C403" s="982">
        <f t="shared" si="1016" ref="C403:AM403">SUM(C396:C402)</f>
        <v>699</v>
      </c>
      <c r="D403" s="982">
        <f t="shared" si="1016"/>
        <v>161</v>
      </c>
      <c r="E403" s="982">
        <f t="shared" si="1016"/>
        <v>64</v>
      </c>
      <c r="F403" s="982">
        <f t="shared" si="1016"/>
        <v>1945</v>
      </c>
      <c r="G403" s="982">
        <f t="shared" si="1016"/>
        <v>1136</v>
      </c>
      <c r="H403" s="25">
        <f t="shared" si="1016"/>
        <v>-32</v>
      </c>
      <c r="I403" s="25">
        <f t="shared" si="1016"/>
        <v>233</v>
      </c>
      <c r="J403" s="25">
        <f t="shared" si="1016"/>
        <v>-523</v>
      </c>
      <c r="K403" s="25">
        <f t="shared" si="1016"/>
        <v>175</v>
      </c>
      <c r="L403" s="982">
        <f t="shared" si="1016"/>
        <v>-147</v>
      </c>
      <c r="M403" s="25">
        <f t="shared" si="1016"/>
        <v>322</v>
      </c>
      <c r="N403" s="25">
        <f t="shared" si="1016"/>
        <v>-1409</v>
      </c>
      <c r="O403" s="25">
        <f t="shared" si="1016"/>
        <v>-739</v>
      </c>
      <c r="P403" s="25">
        <f t="shared" si="1016"/>
        <v>-361</v>
      </c>
      <c r="Q403" s="982">
        <f t="shared" si="1016"/>
        <v>-2187</v>
      </c>
      <c r="R403" s="25">
        <f t="shared" si="1016"/>
        <v>-766</v>
      </c>
      <c r="S403" s="25">
        <f t="shared" si="1016"/>
        <v>-515</v>
      </c>
      <c r="T403" s="25">
        <f t="shared" si="1016"/>
        <v>446</v>
      </c>
      <c r="U403" s="25">
        <f t="shared" si="1016"/>
        <v>-784</v>
      </c>
      <c r="V403" s="982">
        <f t="shared" si="1016"/>
        <v>-1619</v>
      </c>
      <c r="W403" s="25">
        <f t="shared" si="1016"/>
        <v>-876</v>
      </c>
      <c r="X403" s="25">
        <f t="shared" si="1016"/>
        <v>-355</v>
      </c>
      <c r="Y403" s="25">
        <f t="shared" si="1016"/>
        <v>-382</v>
      </c>
      <c r="Z403" s="25">
        <f t="shared" si="1016"/>
        <v>-452</v>
      </c>
      <c r="AA403" s="982">
        <f t="shared" si="1016"/>
        <v>-2065</v>
      </c>
      <c r="AB403" s="25">
        <f t="shared" si="1016"/>
        <v>-473</v>
      </c>
      <c r="AC403" s="25">
        <f t="shared" si="1016"/>
        <v>-515</v>
      </c>
      <c r="AD403" s="25">
        <f t="shared" si="1016"/>
        <v>-525</v>
      </c>
      <c r="AE403" s="25">
        <f t="shared" si="1016"/>
        <v>-103</v>
      </c>
      <c r="AF403" s="982">
        <f t="shared" si="1016"/>
        <v>-1616</v>
      </c>
      <c r="AG403" s="25">
        <f t="shared" si="1016"/>
        <v>-686</v>
      </c>
      <c r="AH403" s="25">
        <f t="shared" si="1016"/>
        <v>-292</v>
      </c>
      <c r="AI403" s="25">
        <f t="shared" si="1016"/>
        <v>-451</v>
      </c>
      <c r="AJ403" s="25">
        <f t="shared" si="1016"/>
        <v>-284</v>
      </c>
      <c r="AK403" s="982">
        <f t="shared" si="1016"/>
        <v>-1713</v>
      </c>
      <c r="AL403" s="25">
        <f t="shared" si="1016"/>
        <v>-446</v>
      </c>
      <c r="AM403" s="25">
        <f t="shared" si="1016"/>
        <v>598</v>
      </c>
      <c r="AN403" s="25">
        <f t="shared" si="1017" ref="AN403:AR403">SUM(AN396:AN402)</f>
        <v>-583</v>
      </c>
      <c r="AO403" s="25">
        <f t="shared" si="1017"/>
        <v>-684</v>
      </c>
      <c r="AP403" s="982">
        <f t="shared" si="1017"/>
        <v>-1115</v>
      </c>
      <c r="AQ403" s="25">
        <f t="shared" si="1017"/>
        <v>-470</v>
      </c>
      <c r="AR403" s="25">
        <f t="shared" si="1017"/>
        <v>-671</v>
      </c>
      <c r="AS403" s="25">
        <f t="shared" si="1018" ref="AS403:AW403">SUM(AS396:AS402)</f>
        <v>-756</v>
      </c>
      <c r="AT403" s="25">
        <f t="shared" si="1018"/>
        <v>-842</v>
      </c>
      <c r="AU403" s="982">
        <f t="shared" si="1018"/>
        <v>-2739</v>
      </c>
      <c r="AV403" s="25">
        <f t="shared" si="1018"/>
        <v>-737</v>
      </c>
      <c r="AW403" s="25">
        <f t="shared" si="1018"/>
        <v>-907</v>
      </c>
      <c r="AX403" s="25">
        <f t="shared" si="1019" ref="AX403:AZ403">SUM(AX396:AX402)</f>
        <v>-612</v>
      </c>
      <c r="AY403" s="25">
        <f t="shared" si="1019"/>
        <v>-1295</v>
      </c>
      <c r="AZ403" s="982">
        <f t="shared" si="1019"/>
        <v>-3551</v>
      </c>
      <c r="BA403" s="25">
        <f t="shared" si="1020" ref="BA403:BJ403">SUM(BA396:BA402)</f>
        <v>-933</v>
      </c>
      <c r="BB403" s="25">
        <f t="shared" si="1020"/>
        <v>-1011</v>
      </c>
      <c r="BC403" s="25">
        <f>SUM(BC396:BC402)</f>
        <v>-992</v>
      </c>
      <c r="BD403" s="25">
        <f t="shared" si="1021" ref="BD403:BE403">SUM(BD396:BD402)</f>
        <v>-787</v>
      </c>
      <c r="BE403" s="982">
        <f t="shared" si="1021"/>
        <v>-3723</v>
      </c>
      <c r="BF403" s="25">
        <f>SUM(BF396:BF402)</f>
        <v>-256</v>
      </c>
      <c r="BG403" s="25">
        <f t="shared" si="1022" ref="BG403">SUM(BG396:BG402)</f>
        <v>-1320</v>
      </c>
      <c r="BH403" s="749">
        <f>SUM(BH396:BH402)</f>
        <v>-826</v>
      </c>
      <c r="BI403" s="25">
        <f ca="1">SUM(BI396:BI402)</f>
        <v>-278.35849999999999</v>
      </c>
      <c r="BJ403" s="982">
        <f t="shared" ca="1" si="1020"/>
        <v>-2680.3585000000003</v>
      </c>
      <c r="BK403" s="25">
        <f ca="1" t="shared" si="1023" ref="BK403:BR403">SUM(BK396:BK402)</f>
        <v>-278.35849999999999</v>
      </c>
      <c r="BL403" s="25">
        <f t="shared" ca="1" si="1023"/>
        <v>-278.35849999999999</v>
      </c>
      <c r="BM403" s="25">
        <f t="shared" ca="1" si="1023"/>
        <v>-278.35849999999999</v>
      </c>
      <c r="BN403" s="25">
        <f t="shared" ca="1" si="1023"/>
        <v>-278.35849999999999</v>
      </c>
      <c r="BO403" s="982">
        <f t="shared" ca="1" si="1023"/>
        <v>-1113.434</v>
      </c>
      <c r="BP403" s="982">
        <f t="shared" ca="1" si="1023"/>
        <v>-1113.434</v>
      </c>
      <c r="BQ403" s="982">
        <f t="shared" ca="1" si="1023"/>
        <v>-1113.434</v>
      </c>
      <c r="BR403" s="982">
        <f t="shared" ca="1" si="1023"/>
        <v>-1113.434</v>
      </c>
      <c r="BS403" s="124"/>
    </row>
    <row r="404" spans="1:71" s="44" customFormat="1" ht="15">
      <c r="A404" s="368"/>
      <c r="B404" s="369"/>
      <c r="C404" s="978"/>
      <c r="D404" s="978"/>
      <c r="E404" s="978"/>
      <c r="F404" s="978"/>
      <c r="G404" s="978"/>
      <c r="H404" s="185"/>
      <c r="I404" s="185"/>
      <c r="J404" s="185"/>
      <c r="K404" s="185"/>
      <c r="L404" s="978"/>
      <c r="M404" s="185"/>
      <c r="N404" s="185"/>
      <c r="O404" s="185"/>
      <c r="P404" s="185"/>
      <c r="Q404" s="978"/>
      <c r="R404" s="185"/>
      <c r="S404" s="185"/>
      <c r="T404" s="185"/>
      <c r="U404" s="185"/>
      <c r="V404" s="978"/>
      <c r="W404" s="185"/>
      <c r="X404" s="185"/>
      <c r="Y404" s="185"/>
      <c r="Z404" s="185"/>
      <c r="AA404" s="978"/>
      <c r="AB404" s="185"/>
      <c r="AC404" s="185"/>
      <c r="AD404" s="185"/>
      <c r="AE404" s="185"/>
      <c r="AF404" s="978"/>
      <c r="AG404" s="185"/>
      <c r="AH404" s="185"/>
      <c r="AI404" s="185"/>
      <c r="AJ404" s="185"/>
      <c r="AK404" s="978"/>
      <c r="AL404" s="185"/>
      <c r="AM404" s="185"/>
      <c r="AN404" s="185"/>
      <c r="AO404" s="185"/>
      <c r="AP404" s="978"/>
      <c r="AQ404" s="185"/>
      <c r="AR404" s="185"/>
      <c r="AS404" s="185"/>
      <c r="AT404" s="185"/>
      <c r="AU404" s="978"/>
      <c r="AV404" s="185"/>
      <c r="AW404" s="185"/>
      <c r="AX404" s="185"/>
      <c r="AY404" s="185"/>
      <c r="AZ404" s="978"/>
      <c r="BA404" s="185"/>
      <c r="BB404" s="185"/>
      <c r="BC404" s="185"/>
      <c r="BD404" s="185"/>
      <c r="BE404" s="978"/>
      <c r="BF404" s="185"/>
      <c r="BG404" s="185"/>
      <c r="BH404" s="552"/>
      <c r="BI404" s="185"/>
      <c r="BJ404" s="978"/>
      <c r="BK404" s="185"/>
      <c r="BL404" s="185"/>
      <c r="BM404" s="185"/>
      <c r="BN404" s="185"/>
      <c r="BO404" s="978"/>
      <c r="BP404" s="978"/>
      <c r="BQ404" s="978"/>
      <c r="BR404" s="978"/>
      <c r="BS404" s="124"/>
    </row>
    <row r="405" spans="1:71" s="224" customFormat="1" ht="15">
      <c r="A405" s="370" t="str">
        <f>A354</f>
        <v>FX</v>
      </c>
      <c r="B405" s="363"/>
      <c r="C405" s="971">
        <f t="shared" si="1024" ref="C405:H405">C354</f>
        <v>-2</v>
      </c>
      <c r="D405" s="971">
        <f t="shared" si="1024"/>
        <v>80</v>
      </c>
      <c r="E405" s="971">
        <f t="shared" si="1024"/>
        <v>51</v>
      </c>
      <c r="F405" s="971">
        <f t="shared" si="1024"/>
        <v>-153</v>
      </c>
      <c r="G405" s="971">
        <f t="shared" si="1024"/>
        <v>-90</v>
      </c>
      <c r="H405" s="176">
        <f t="shared" si="1024"/>
        <v>-9</v>
      </c>
      <c r="I405" s="176">
        <f>I354-H354</f>
        <v>-21</v>
      </c>
      <c r="J405" s="176">
        <f>J354-I354</f>
        <v>42</v>
      </c>
      <c r="K405" s="176">
        <f>K354-J354</f>
        <v>-59</v>
      </c>
      <c r="L405" s="971">
        <f>L354</f>
        <v>-47</v>
      </c>
      <c r="M405" s="176">
        <f>M354</f>
        <v>1</v>
      </c>
      <c r="N405" s="176">
        <f>N354-M354</f>
        <v>-6</v>
      </c>
      <c r="O405" s="176">
        <f>O354-N354</f>
        <v>6</v>
      </c>
      <c r="P405" s="176">
        <f>P354-O354</f>
        <v>-1</v>
      </c>
      <c r="Q405" s="971">
        <f>Q354</f>
        <v>0</v>
      </c>
      <c r="R405" s="176">
        <f>R354</f>
        <v>21</v>
      </c>
      <c r="S405" s="176">
        <f>S354-R354</f>
        <v>185</v>
      </c>
      <c r="T405" s="176">
        <f>T354-S354</f>
        <v>67</v>
      </c>
      <c r="U405" s="176">
        <f>U354-T354</f>
        <v>-277</v>
      </c>
      <c r="V405" s="971">
        <f>V354</f>
        <v>-4</v>
      </c>
      <c r="W405" s="176">
        <f>W354</f>
        <v>-8</v>
      </c>
      <c r="X405" s="176">
        <f>X354-W354</f>
        <v>-4</v>
      </c>
      <c r="Y405" s="176">
        <f>Y354-X354</f>
        <v>-16</v>
      </c>
      <c r="Z405" s="176">
        <f>Z354-Y354</f>
        <v>28</v>
      </c>
      <c r="AA405" s="971">
        <f>AA354</f>
        <v>0</v>
      </c>
      <c r="AB405" s="176">
        <f>AB354</f>
        <v>23</v>
      </c>
      <c r="AC405" s="176">
        <f>AC354-AB354</f>
        <v>-43</v>
      </c>
      <c r="AD405" s="176">
        <f>AD354-AC354</f>
        <v>-16</v>
      </c>
      <c r="AE405" s="176">
        <f>AE354-AD354</f>
        <v>66</v>
      </c>
      <c r="AF405" s="971">
        <f>AF354</f>
        <v>30</v>
      </c>
      <c r="AG405" s="176">
        <f>AG354</f>
        <v>-12</v>
      </c>
      <c r="AH405" s="176">
        <f>AH354-AG354</f>
        <v>42</v>
      </c>
      <c r="AI405" s="176">
        <f>AI354-AH354</f>
        <v>-39</v>
      </c>
      <c r="AJ405" s="176">
        <f>AJ354-AI354</f>
        <v>-3</v>
      </c>
      <c r="AK405" s="971">
        <f>AK354</f>
        <v>-12</v>
      </c>
      <c r="AL405" s="176">
        <f>AL354</f>
        <v>0</v>
      </c>
      <c r="AM405" s="176">
        <f>AM354-AL354</f>
        <v>-1</v>
      </c>
      <c r="AN405" s="176">
        <f>AN354-AM354</f>
        <v>9</v>
      </c>
      <c r="AO405" s="176">
        <f>AO354-AN354</f>
        <v>13</v>
      </c>
      <c r="AP405" s="971">
        <f>AP354</f>
        <v>21</v>
      </c>
      <c r="AQ405" s="176">
        <f>AQ354</f>
        <v>-78</v>
      </c>
      <c r="AR405" s="176">
        <f>AR354-AQ354</f>
        <v>58</v>
      </c>
      <c r="AS405" s="176">
        <f>AS354-AR354</f>
        <v>-26</v>
      </c>
      <c r="AT405" s="176">
        <f>AT354-AS354</f>
        <v>22</v>
      </c>
      <c r="AU405" s="971">
        <f>AU354</f>
        <v>-24</v>
      </c>
      <c r="AV405" s="176">
        <f>AV354</f>
        <v>-89</v>
      </c>
      <c r="AW405" s="176">
        <f t="shared" si="1025" ref="AW405:AX405">AW354-AV354</f>
        <v>2</v>
      </c>
      <c r="AX405" s="176">
        <f t="shared" si="1025"/>
        <v>3</v>
      </c>
      <c r="AY405" s="176">
        <f>AY354-AX354</f>
        <v>188</v>
      </c>
      <c r="AZ405" s="971">
        <f>AZ354</f>
        <v>104</v>
      </c>
      <c r="BA405" s="176">
        <f>BA354</f>
        <v>-14</v>
      </c>
      <c r="BB405" s="176">
        <f t="shared" si="1026" ref="BB405">BB354-BA354</f>
        <v>-85</v>
      </c>
      <c r="BC405" s="176">
        <f>BC354-BB354</f>
        <v>8</v>
      </c>
      <c r="BD405" s="176">
        <f>BD354-BC354</f>
        <v>170</v>
      </c>
      <c r="BE405" s="971">
        <f>BE354</f>
        <v>79</v>
      </c>
      <c r="BF405" s="176">
        <f>BF354</f>
        <v>-28</v>
      </c>
      <c r="BG405" s="176">
        <f t="shared" si="1027" ref="BG405">BG354-BF354</f>
        <v>-40</v>
      </c>
      <c r="BH405" s="551">
        <f>BH354-BG354</f>
        <v>138</v>
      </c>
      <c r="BI405" s="891">
        <v>0</v>
      </c>
      <c r="BJ405" s="971">
        <f>SUM(BF405,BG405,BH405,BI405)</f>
        <v>70</v>
      </c>
      <c r="BK405" s="891">
        <v>0</v>
      </c>
      <c r="BL405" s="891">
        <v>0</v>
      </c>
      <c r="BM405" s="891">
        <v>0</v>
      </c>
      <c r="BN405" s="891">
        <v>0</v>
      </c>
      <c r="BO405" s="971">
        <f>SUM(BK405,BL405,BM405,BN405)</f>
        <v>0</v>
      </c>
      <c r="BP405" s="992">
        <v>0</v>
      </c>
      <c r="BQ405" s="992">
        <v>0</v>
      </c>
      <c r="BR405" s="992">
        <v>0</v>
      </c>
      <c r="BS405" s="113"/>
    </row>
    <row r="406" spans="1:71" s="44" customFormat="1" ht="15">
      <c r="A406" s="368" t="str">
        <f>A355</f>
        <v>Net Change in Cash Balance</v>
      </c>
      <c r="B406" s="369"/>
      <c r="C406" s="978">
        <f t="shared" si="1028" ref="C406:AM406">C403+C393+C374+C405</f>
        <v>1382</v>
      </c>
      <c r="D406" s="978">
        <f t="shared" si="1028"/>
        <v>-202</v>
      </c>
      <c r="E406" s="978">
        <f t="shared" si="1028"/>
        <v>128</v>
      </c>
      <c r="F406" s="978">
        <f t="shared" si="1028"/>
        <v>-208</v>
      </c>
      <c r="G406" s="978">
        <f t="shared" si="1028"/>
        <v>502</v>
      </c>
      <c r="H406" s="185">
        <f t="shared" si="1028"/>
        <v>-549</v>
      </c>
      <c r="I406" s="185">
        <f t="shared" si="1028"/>
        <v>258</v>
      </c>
      <c r="J406" s="185">
        <f t="shared" si="1028"/>
        <v>414</v>
      </c>
      <c r="K406" s="185">
        <f t="shared" si="1028"/>
        <v>1992</v>
      </c>
      <c r="L406" s="978">
        <f t="shared" si="1028"/>
        <v>2115</v>
      </c>
      <c r="M406" s="185">
        <f t="shared" si="1028"/>
        <v>-295</v>
      </c>
      <c r="N406" s="185">
        <f t="shared" si="1028"/>
        <v>-1260</v>
      </c>
      <c r="O406" s="185">
        <f t="shared" si="1028"/>
        <v>417</v>
      </c>
      <c r="P406" s="185">
        <f t="shared" si="1028"/>
        <v>830</v>
      </c>
      <c r="Q406" s="978">
        <f t="shared" si="1028"/>
        <v>-308</v>
      </c>
      <c r="R406" s="185">
        <f t="shared" si="1028"/>
        <v>-901</v>
      </c>
      <c r="S406" s="185">
        <f t="shared" si="1028"/>
        <v>251</v>
      </c>
      <c r="T406" s="185">
        <f t="shared" si="1028"/>
        <v>1570</v>
      </c>
      <c r="U406" s="185">
        <f t="shared" si="1028"/>
        <v>-411</v>
      </c>
      <c r="V406" s="978">
        <f t="shared" si="1028"/>
        <v>509</v>
      </c>
      <c r="W406" s="185">
        <f t="shared" si="1028"/>
        <v>-654</v>
      </c>
      <c r="X406" s="185">
        <f t="shared" si="1028"/>
        <v>59</v>
      </c>
      <c r="Y406" s="185">
        <f t="shared" si="1028"/>
        <v>663</v>
      </c>
      <c r="Z406" s="185">
        <f t="shared" si="1028"/>
        <v>-1436</v>
      </c>
      <c r="AA406" s="978">
        <f t="shared" si="1028"/>
        <v>-1368</v>
      </c>
      <c r="AB406" s="185">
        <f t="shared" si="1028"/>
        <v>589</v>
      </c>
      <c r="AC406" s="185">
        <f t="shared" si="1028"/>
        <v>-233</v>
      </c>
      <c r="AD406" s="185">
        <f t="shared" si="1028"/>
        <v>-418</v>
      </c>
      <c r="AE406" s="185">
        <f t="shared" si="1028"/>
        <v>908</v>
      </c>
      <c r="AF406" s="978">
        <f t="shared" si="1028"/>
        <v>846</v>
      </c>
      <c r="AG406" s="185">
        <f t="shared" si="1028"/>
        <v>-445</v>
      </c>
      <c r="AH406" s="185">
        <f t="shared" si="1028"/>
        <v>-873</v>
      </c>
      <c r="AI406" s="185">
        <f t="shared" si="1028"/>
        <v>1197</v>
      </c>
      <c r="AJ406" s="185">
        <f t="shared" si="1028"/>
        <v>680</v>
      </c>
      <c r="AK406" s="978">
        <f t="shared" si="1028"/>
        <v>559</v>
      </c>
      <c r="AL406" s="185">
        <f t="shared" si="1028"/>
        <v>-748</v>
      </c>
      <c r="AM406" s="185">
        <f t="shared" si="1028"/>
        <v>1380</v>
      </c>
      <c r="AN406" s="185">
        <f t="shared" si="1029" ref="AN406:AR406">AN403+AN393+AN374+AN405</f>
        <v>35</v>
      </c>
      <c r="AO406" s="185">
        <f t="shared" si="1029"/>
        <v>-422</v>
      </c>
      <c r="AP406" s="978">
        <f t="shared" si="1029"/>
        <v>245</v>
      </c>
      <c r="AQ406" s="185">
        <f t="shared" si="1029"/>
        <v>-151</v>
      </c>
      <c r="AR406" s="185">
        <f t="shared" si="1029"/>
        <v>479</v>
      </c>
      <c r="AS406" s="185">
        <f t="shared" si="1030" ref="AS406:AV406">AS403+AS393+AS374+AS405</f>
        <v>739</v>
      </c>
      <c r="AT406" s="185">
        <f t="shared" si="1030"/>
        <v>-1157</v>
      </c>
      <c r="AU406" s="978">
        <f t="shared" si="1030"/>
        <v>-90</v>
      </c>
      <c r="AV406" s="185">
        <f t="shared" si="1030"/>
        <v>-776</v>
      </c>
      <c r="AW406" s="185">
        <f t="shared" si="1031" ref="AW406:BB406">AW403+AW393+AW374+AW405</f>
        <v>898</v>
      </c>
      <c r="AX406" s="185">
        <f t="shared" si="1031"/>
        <v>-463</v>
      </c>
      <c r="AY406" s="185">
        <f t="shared" si="1031"/>
        <v>-767</v>
      </c>
      <c r="AZ406" s="978">
        <f t="shared" si="1031"/>
        <v>-1108</v>
      </c>
      <c r="BA406" s="185">
        <f t="shared" si="1031"/>
        <v>-134</v>
      </c>
      <c r="BB406" s="185">
        <f t="shared" si="1031"/>
        <v>911</v>
      </c>
      <c r="BC406" s="185">
        <f>BC403+BC393+BC374+BC405</f>
        <v>782</v>
      </c>
      <c r="BD406" s="185">
        <f t="shared" si="1032" ref="BD406:BG406">BD403+BD393+BD374+BD405</f>
        <v>-1196</v>
      </c>
      <c r="BE406" s="978">
        <f t="shared" si="1032"/>
        <v>363</v>
      </c>
      <c r="BF406" s="185">
        <f t="shared" si="1032"/>
        <v>792</v>
      </c>
      <c r="BG406" s="185">
        <f t="shared" si="1032"/>
        <v>962</v>
      </c>
      <c r="BH406" s="552">
        <f>BH403+BH393+BH374+BH405</f>
        <v>-448</v>
      </c>
      <c r="BI406" s="185">
        <f ca="1">BI403+BI393+BI374+BI405</f>
        <v>-676.70907598296617</v>
      </c>
      <c r="BJ406" s="978">
        <f ca="1">SUM(BI406,BH406,BG406,BF406)</f>
        <v>629.29092401703383</v>
      </c>
      <c r="BK406" s="185">
        <f ca="1" t="shared" si="1033" ref="BK406:BR406">BK403+BK393+BK374+BK405</f>
        <v>3485.7727842817762</v>
      </c>
      <c r="BL406" s="185">
        <f t="shared" ca="1" si="1033"/>
        <v>6088.4303142942499</v>
      </c>
      <c r="BM406" s="185">
        <f t="shared" ca="1" si="1033"/>
        <v>-6923.8735356434772</v>
      </c>
      <c r="BN406" s="185">
        <f t="shared" ca="1" si="1033"/>
        <v>-901.46611406763896</v>
      </c>
      <c r="BO406" s="978">
        <f t="shared" ca="1" si="1033"/>
        <v>1748.8634488649104</v>
      </c>
      <c r="BP406" s="978">
        <f t="shared" ca="1" si="1033"/>
        <v>2692.8278568591841</v>
      </c>
      <c r="BQ406" s="978">
        <f t="shared" ca="1" si="1033"/>
        <v>2713.256725364522</v>
      </c>
      <c r="BR406" s="978">
        <f t="shared" ca="1" si="1033"/>
        <v>1990.7210802940872</v>
      </c>
      <c r="BS406" s="124"/>
    </row>
    <row r="407" spans="1:71" s="44" customFormat="1" ht="15">
      <c r="A407" s="368"/>
      <c r="B407" s="369"/>
      <c r="C407" s="978"/>
      <c r="D407" s="978"/>
      <c r="E407" s="978"/>
      <c r="F407" s="978"/>
      <c r="G407" s="978"/>
      <c r="H407" s="185"/>
      <c r="I407" s="185"/>
      <c r="J407" s="185"/>
      <c r="K407" s="185"/>
      <c r="L407" s="978"/>
      <c r="M407" s="185"/>
      <c r="N407" s="185"/>
      <c r="O407" s="185"/>
      <c r="P407" s="185"/>
      <c r="Q407" s="978"/>
      <c r="R407" s="185"/>
      <c r="S407" s="185"/>
      <c r="T407" s="185"/>
      <c r="U407" s="185"/>
      <c r="V407" s="978"/>
      <c r="W407" s="185"/>
      <c r="X407" s="185"/>
      <c r="Y407" s="185"/>
      <c r="Z407" s="185"/>
      <c r="AA407" s="978"/>
      <c r="AB407" s="185"/>
      <c r="AC407" s="185"/>
      <c r="AD407" s="185"/>
      <c r="AE407" s="185"/>
      <c r="AF407" s="978"/>
      <c r="AG407" s="185"/>
      <c r="AH407" s="185"/>
      <c r="AI407" s="185"/>
      <c r="AJ407" s="185"/>
      <c r="AK407" s="978"/>
      <c r="AL407" s="185"/>
      <c r="AM407" s="185"/>
      <c r="AN407" s="185"/>
      <c r="AO407" s="185"/>
      <c r="AP407" s="978"/>
      <c r="AQ407" s="185"/>
      <c r="AR407" s="185"/>
      <c r="AS407" s="185"/>
      <c r="AT407" s="185"/>
      <c r="AU407" s="978"/>
      <c r="AV407" s="185"/>
      <c r="AW407" s="185"/>
      <c r="AX407" s="185"/>
      <c r="AY407" s="185"/>
      <c r="AZ407" s="978"/>
      <c r="BA407" s="185"/>
      <c r="BB407" s="185"/>
      <c r="BC407" s="185"/>
      <c r="BD407" s="185"/>
      <c r="BE407" s="978"/>
      <c r="BF407" s="185"/>
      <c r="BG407" s="185"/>
      <c r="BH407" s="552"/>
      <c r="BI407" s="185"/>
      <c r="BJ407" s="978"/>
      <c r="BK407" s="185"/>
      <c r="BL407" s="185"/>
      <c r="BM407" s="185"/>
      <c r="BN407" s="185"/>
      <c r="BO407" s="978"/>
      <c r="BP407" s="978"/>
      <c r="BQ407" s="978"/>
      <c r="BR407" s="978"/>
      <c r="BS407" s="124"/>
    </row>
    <row r="408" spans="1:71" s="44" customFormat="1" ht="15">
      <c r="A408" s="368" t="str">
        <f>A357</f>
        <v>Beginning Cash Balance</v>
      </c>
      <c r="B408" s="369"/>
      <c r="C408" s="978">
        <f>C357</f>
        <v>941</v>
      </c>
      <c r="D408" s="978">
        <f t="shared" si="1034" ref="D408:K408">C409</f>
        <v>2323</v>
      </c>
      <c r="E408" s="978">
        <f t="shared" si="1034"/>
        <v>2121</v>
      </c>
      <c r="F408" s="978">
        <f t="shared" si="1034"/>
        <v>2249</v>
      </c>
      <c r="G408" s="978">
        <f t="shared" si="1034"/>
        <v>2041</v>
      </c>
      <c r="H408" s="185">
        <f t="shared" si="1034"/>
        <v>2543</v>
      </c>
      <c r="I408" s="185">
        <f t="shared" si="1034"/>
        <v>1994</v>
      </c>
      <c r="J408" s="185">
        <f t="shared" si="1034"/>
        <v>2252</v>
      </c>
      <c r="K408" s="185">
        <f t="shared" si="1034"/>
        <v>2666</v>
      </c>
      <c r="L408" s="978">
        <f>G409</f>
        <v>2543</v>
      </c>
      <c r="M408" s="185">
        <f>L409</f>
        <v>4658</v>
      </c>
      <c r="N408" s="185">
        <f>M409</f>
        <v>4363</v>
      </c>
      <c r="O408" s="185">
        <f>N409</f>
        <v>3103</v>
      </c>
      <c r="P408" s="185">
        <f>O409</f>
        <v>3520</v>
      </c>
      <c r="Q408" s="978">
        <f>L409</f>
        <v>4658</v>
      </c>
      <c r="R408" s="185">
        <f>Q409</f>
        <v>4350</v>
      </c>
      <c r="S408" s="185">
        <f>R409</f>
        <v>3449</v>
      </c>
      <c r="T408" s="185">
        <f>S409</f>
        <v>3700</v>
      </c>
      <c r="U408" s="185">
        <f>T409</f>
        <v>5270</v>
      </c>
      <c r="V408" s="978">
        <f>Q409</f>
        <v>4350</v>
      </c>
      <c r="W408" s="185">
        <f>V409</f>
        <v>4859</v>
      </c>
      <c r="X408" s="185">
        <f>W409</f>
        <v>4205</v>
      </c>
      <c r="Y408" s="185">
        <f>X409</f>
        <v>4264</v>
      </c>
      <c r="Z408" s="185">
        <f>Y409</f>
        <v>4927</v>
      </c>
      <c r="AA408" s="978">
        <f>V409</f>
        <v>4859</v>
      </c>
      <c r="AB408" s="185">
        <f>AA409</f>
        <v>3491</v>
      </c>
      <c r="AC408" s="185">
        <f>AB409</f>
        <v>4080</v>
      </c>
      <c r="AD408" s="185">
        <f>AC409</f>
        <v>3847</v>
      </c>
      <c r="AE408" s="185">
        <f>AD409</f>
        <v>3429</v>
      </c>
      <c r="AF408" s="978">
        <f>AA409</f>
        <v>3491</v>
      </c>
      <c r="AG408" s="185">
        <f>AF409</f>
        <v>4337</v>
      </c>
      <c r="AH408" s="185">
        <f>AG409</f>
        <v>3892</v>
      </c>
      <c r="AI408" s="185">
        <f>AH409</f>
        <v>3019</v>
      </c>
      <c r="AJ408" s="185">
        <f>AI409</f>
        <v>4216</v>
      </c>
      <c r="AK408" s="978">
        <f>AF409</f>
        <v>4337</v>
      </c>
      <c r="AL408" s="185">
        <f>AK409</f>
        <v>4896</v>
      </c>
      <c r="AM408" s="185">
        <f>AL409</f>
        <v>4148</v>
      </c>
      <c r="AN408" s="185">
        <f>AM409</f>
        <v>5528</v>
      </c>
      <c r="AO408" s="185">
        <f>AN409</f>
        <v>5563</v>
      </c>
      <c r="AP408" s="978">
        <f>AK409</f>
        <v>4896</v>
      </c>
      <c r="AQ408" s="185">
        <f>AP409</f>
        <v>5141</v>
      </c>
      <c r="AR408" s="185">
        <f>AQ409</f>
        <v>4990</v>
      </c>
      <c r="AS408" s="185">
        <f>AR409</f>
        <v>5469</v>
      </c>
      <c r="AT408" s="185">
        <f>AS409</f>
        <v>6208</v>
      </c>
      <c r="AU408" s="978">
        <f>AP409</f>
        <v>5141</v>
      </c>
      <c r="AV408" s="185">
        <f>AU409</f>
        <v>5051</v>
      </c>
      <c r="AW408" s="185">
        <f t="shared" si="1035" ref="AW408:AX408">AV409</f>
        <v>4275</v>
      </c>
      <c r="AX408" s="185">
        <f t="shared" si="1035"/>
        <v>5173</v>
      </c>
      <c r="AY408" s="185">
        <f>AX409</f>
        <v>4710</v>
      </c>
      <c r="AZ408" s="978">
        <f>AU409</f>
        <v>5051</v>
      </c>
      <c r="BA408" s="185">
        <f>AZ409</f>
        <v>3943</v>
      </c>
      <c r="BB408" s="185">
        <f>BA409</f>
        <v>3809</v>
      </c>
      <c r="BC408" s="185">
        <f>BB409</f>
        <v>4720</v>
      </c>
      <c r="BD408" s="185">
        <f>BC409</f>
        <v>5502</v>
      </c>
      <c r="BE408" s="978">
        <f>AZ409</f>
        <v>3943</v>
      </c>
      <c r="BF408" s="185">
        <f>BE409</f>
        <v>4306</v>
      </c>
      <c r="BG408" s="185">
        <f>BF409</f>
        <v>5098</v>
      </c>
      <c r="BH408" s="552">
        <f>BG409</f>
        <v>6060</v>
      </c>
      <c r="BI408" s="185">
        <f>BH409</f>
        <v>5612</v>
      </c>
      <c r="BJ408" s="978">
        <f>BE409</f>
        <v>4306</v>
      </c>
      <c r="BK408" s="185">
        <f ca="1">BJ409</f>
        <v>4935.2909240170338</v>
      </c>
      <c r="BL408" s="185">
        <f ca="1">BK409</f>
        <v>8421.0637082988105</v>
      </c>
      <c r="BM408" s="185">
        <f ca="1">BL409</f>
        <v>14509.49402259306</v>
      </c>
      <c r="BN408" s="185">
        <f ca="1">BM409</f>
        <v>7585.6204869495832</v>
      </c>
      <c r="BO408" s="978">
        <f ca="1">BJ409</f>
        <v>4935.2909240170338</v>
      </c>
      <c r="BP408" s="978">
        <f ca="1">BO409</f>
        <v>6684.1543728819443</v>
      </c>
      <c r="BQ408" s="978">
        <f ca="1">BP409</f>
        <v>9376.9822297411283</v>
      </c>
      <c r="BR408" s="978">
        <f ca="1">BQ409</f>
        <v>12090.238955105651</v>
      </c>
      <c r="BS408" s="124"/>
    </row>
    <row r="409" spans="1:71" s="44" customFormat="1" ht="15">
      <c r="A409" s="368" t="str">
        <f>A358</f>
        <v>Ending Cash Balance</v>
      </c>
      <c r="B409" s="369"/>
      <c r="C409" s="978">
        <f t="shared" si="1036" ref="C409:AM409">C408+C406</f>
        <v>2323</v>
      </c>
      <c r="D409" s="978">
        <f t="shared" si="1036"/>
        <v>2121</v>
      </c>
      <c r="E409" s="978">
        <f t="shared" si="1036"/>
        <v>2249</v>
      </c>
      <c r="F409" s="978">
        <f t="shared" si="1036"/>
        <v>2041</v>
      </c>
      <c r="G409" s="978">
        <f t="shared" si="1036"/>
        <v>2543</v>
      </c>
      <c r="H409" s="185">
        <f t="shared" si="1036"/>
        <v>1994</v>
      </c>
      <c r="I409" s="185">
        <f t="shared" si="1036"/>
        <v>2252</v>
      </c>
      <c r="J409" s="185">
        <f t="shared" si="1036"/>
        <v>2666</v>
      </c>
      <c r="K409" s="185">
        <f t="shared" si="1036"/>
        <v>4658</v>
      </c>
      <c r="L409" s="978">
        <f t="shared" si="1036"/>
        <v>4658</v>
      </c>
      <c r="M409" s="185">
        <f t="shared" si="1036"/>
        <v>4363</v>
      </c>
      <c r="N409" s="185">
        <f t="shared" si="1036"/>
        <v>3103</v>
      </c>
      <c r="O409" s="185">
        <f t="shared" si="1036"/>
        <v>3520</v>
      </c>
      <c r="P409" s="185">
        <f t="shared" si="1036"/>
        <v>4350</v>
      </c>
      <c r="Q409" s="978">
        <f t="shared" si="1036"/>
        <v>4350</v>
      </c>
      <c r="R409" s="185">
        <f t="shared" si="1036"/>
        <v>3449</v>
      </c>
      <c r="S409" s="185">
        <f t="shared" si="1036"/>
        <v>3700</v>
      </c>
      <c r="T409" s="185">
        <f t="shared" si="1036"/>
        <v>5270</v>
      </c>
      <c r="U409" s="185">
        <f t="shared" si="1036"/>
        <v>4859</v>
      </c>
      <c r="V409" s="978">
        <f t="shared" si="1036"/>
        <v>4859</v>
      </c>
      <c r="W409" s="185">
        <f t="shared" si="1036"/>
        <v>4205</v>
      </c>
      <c r="X409" s="185">
        <f t="shared" si="1036"/>
        <v>4264</v>
      </c>
      <c r="Y409" s="185">
        <f t="shared" si="1036"/>
        <v>4927</v>
      </c>
      <c r="Z409" s="185">
        <f t="shared" si="1036"/>
        <v>3491</v>
      </c>
      <c r="AA409" s="978">
        <f t="shared" si="1036"/>
        <v>3491</v>
      </c>
      <c r="AB409" s="185">
        <f t="shared" si="1036"/>
        <v>4080</v>
      </c>
      <c r="AC409" s="185">
        <f t="shared" si="1036"/>
        <v>3847</v>
      </c>
      <c r="AD409" s="185">
        <f t="shared" si="1036"/>
        <v>3429</v>
      </c>
      <c r="AE409" s="185">
        <f t="shared" si="1036"/>
        <v>4337</v>
      </c>
      <c r="AF409" s="978">
        <f t="shared" si="1036"/>
        <v>4337</v>
      </c>
      <c r="AG409" s="185">
        <f t="shared" si="1036"/>
        <v>3892</v>
      </c>
      <c r="AH409" s="185">
        <f t="shared" si="1036"/>
        <v>3019</v>
      </c>
      <c r="AI409" s="185">
        <f t="shared" si="1036"/>
        <v>4216</v>
      </c>
      <c r="AJ409" s="185">
        <f t="shared" si="1036"/>
        <v>4896</v>
      </c>
      <c r="AK409" s="978">
        <f t="shared" si="1036"/>
        <v>4896</v>
      </c>
      <c r="AL409" s="185">
        <f t="shared" si="1036"/>
        <v>4148</v>
      </c>
      <c r="AM409" s="185">
        <f t="shared" si="1036"/>
        <v>5528</v>
      </c>
      <c r="AN409" s="185">
        <f t="shared" si="1037" ref="AN409:AR409">AN408+AN406</f>
        <v>5563</v>
      </c>
      <c r="AO409" s="185">
        <f t="shared" si="1037"/>
        <v>5141</v>
      </c>
      <c r="AP409" s="978">
        <f t="shared" si="1037"/>
        <v>5141</v>
      </c>
      <c r="AQ409" s="185">
        <f t="shared" si="1037"/>
        <v>4990</v>
      </c>
      <c r="AR409" s="185">
        <f t="shared" si="1037"/>
        <v>5469</v>
      </c>
      <c r="AS409" s="185">
        <f t="shared" si="1038" ref="AS409:AV409">AS408+AS406</f>
        <v>6208</v>
      </c>
      <c r="AT409" s="185">
        <f t="shared" si="1038"/>
        <v>5051</v>
      </c>
      <c r="AU409" s="978">
        <f t="shared" si="1038"/>
        <v>5051</v>
      </c>
      <c r="AV409" s="185">
        <f t="shared" si="1038"/>
        <v>4275</v>
      </c>
      <c r="AW409" s="185">
        <f t="shared" si="1039" ref="AW409:BB409">AW408+AW406</f>
        <v>5173</v>
      </c>
      <c r="AX409" s="185">
        <f t="shared" si="1039"/>
        <v>4710</v>
      </c>
      <c r="AY409" s="185">
        <f t="shared" si="1039"/>
        <v>3943</v>
      </c>
      <c r="AZ409" s="978">
        <f t="shared" si="1039"/>
        <v>3943</v>
      </c>
      <c r="BA409" s="185">
        <f t="shared" si="1039"/>
        <v>3809</v>
      </c>
      <c r="BB409" s="185">
        <f t="shared" si="1039"/>
        <v>4720</v>
      </c>
      <c r="BC409" s="185">
        <f>BC408+BC406</f>
        <v>5502</v>
      </c>
      <c r="BD409" s="185">
        <f t="shared" si="1040" ref="BD409:BG409">BD408+BD406</f>
        <v>4306</v>
      </c>
      <c r="BE409" s="978">
        <f t="shared" si="1040"/>
        <v>4306</v>
      </c>
      <c r="BF409" s="185">
        <f t="shared" si="1040"/>
        <v>5098</v>
      </c>
      <c r="BG409" s="185">
        <f t="shared" si="1040"/>
        <v>6060</v>
      </c>
      <c r="BH409" s="552">
        <f>BH408+BH406</f>
        <v>5612</v>
      </c>
      <c r="BI409" s="185">
        <f ca="1">BI408+BI406</f>
        <v>4935.2909240170338</v>
      </c>
      <c r="BJ409" s="978">
        <f ca="1" t="shared" si="1041" ref="BJ409">BJ408+BJ406</f>
        <v>4935.2909240170338</v>
      </c>
      <c r="BK409" s="185">
        <f ca="1" t="shared" si="1042" ref="BK409:BR409">BK408+BK406</f>
        <v>8421.0637082988105</v>
      </c>
      <c r="BL409" s="185">
        <f t="shared" ca="1" si="1042"/>
        <v>14509.49402259306</v>
      </c>
      <c r="BM409" s="185">
        <f t="shared" ca="1" si="1042"/>
        <v>7585.6204869495832</v>
      </c>
      <c r="BN409" s="185">
        <f t="shared" ca="1" si="1042"/>
        <v>6684.1543728819443</v>
      </c>
      <c r="BO409" s="978">
        <f t="shared" ca="1" si="1042"/>
        <v>6684.1543728819443</v>
      </c>
      <c r="BP409" s="978">
        <f t="shared" ca="1" si="1042"/>
        <v>9376.9822297411283</v>
      </c>
      <c r="BQ409" s="978">
        <f t="shared" ca="1" si="1042"/>
        <v>12090.238955105651</v>
      </c>
      <c r="BR409" s="978">
        <f t="shared" ca="1" si="1042"/>
        <v>14080.960035399738</v>
      </c>
      <c r="BS409" s="124"/>
    </row>
    <row r="410" spans="1:71" s="44" customFormat="1" ht="15">
      <c r="A410" s="368"/>
      <c r="B410" s="369"/>
      <c r="C410" s="978"/>
      <c r="D410" s="978"/>
      <c r="E410" s="978"/>
      <c r="F410" s="978"/>
      <c r="G410" s="978"/>
      <c r="H410" s="185"/>
      <c r="I410" s="185"/>
      <c r="J410" s="185"/>
      <c r="K410" s="185"/>
      <c r="L410" s="978"/>
      <c r="M410" s="185"/>
      <c r="N410" s="185"/>
      <c r="O410" s="185"/>
      <c r="P410" s="185"/>
      <c r="Q410" s="978"/>
      <c r="R410" s="185"/>
      <c r="S410" s="185"/>
      <c r="T410" s="185"/>
      <c r="U410" s="185"/>
      <c r="V410" s="978"/>
      <c r="W410" s="185"/>
      <c r="X410" s="185"/>
      <c r="Y410" s="185"/>
      <c r="Z410" s="185"/>
      <c r="AA410" s="978"/>
      <c r="AB410" s="185"/>
      <c r="AC410" s="185"/>
      <c r="AD410" s="185"/>
      <c r="AE410" s="185"/>
      <c r="AF410" s="978"/>
      <c r="AG410" s="185"/>
      <c r="AH410" s="185"/>
      <c r="AI410" s="185"/>
      <c r="AJ410" s="185"/>
      <c r="AK410" s="978"/>
      <c r="AL410" s="185"/>
      <c r="AM410" s="185"/>
      <c r="AN410" s="185"/>
      <c r="AO410" s="185"/>
      <c r="AP410" s="978"/>
      <c r="AQ410" s="185"/>
      <c r="AR410" s="185"/>
      <c r="AS410" s="185"/>
      <c r="AT410" s="185"/>
      <c r="AU410" s="978"/>
      <c r="AV410" s="185"/>
      <c r="AW410" s="185"/>
      <c r="AX410" s="185"/>
      <c r="AY410" s="185"/>
      <c r="AZ410" s="978"/>
      <c r="BA410" s="185"/>
      <c r="BB410" s="185"/>
      <c r="BC410" s="185"/>
      <c r="BD410" s="185"/>
      <c r="BE410" s="978"/>
      <c r="BF410" s="185"/>
      <c r="BG410" s="185"/>
      <c r="BH410" s="552"/>
      <c r="BI410" s="185"/>
      <c r="BJ410" s="978"/>
      <c r="BK410" s="185"/>
      <c r="BL410" s="185"/>
      <c r="BM410" s="185"/>
      <c r="BN410" s="185"/>
      <c r="BO410" s="978"/>
      <c r="BP410" s="978"/>
      <c r="BQ410" s="978"/>
      <c r="BR410" s="978"/>
      <c r="BS410" s="124"/>
    </row>
    <row r="411" spans="1:71" s="224" customFormat="1" ht="15">
      <c r="A411" s="370" t="str">
        <f>A360</f>
        <v>Cash paid for interest</v>
      </c>
      <c r="B411" s="363"/>
      <c r="C411" s="971">
        <f t="shared" si="1043" ref="C411:H412">C360</f>
        <v>61</v>
      </c>
      <c r="D411" s="971">
        <f t="shared" si="1043"/>
        <v>134</v>
      </c>
      <c r="E411" s="971">
        <f t="shared" si="1043"/>
        <v>164</v>
      </c>
      <c r="F411" s="971">
        <f t="shared" si="1043"/>
        <v>178</v>
      </c>
      <c r="G411" s="971">
        <f t="shared" si="1043"/>
        <v>210</v>
      </c>
      <c r="H411" s="176">
        <f t="shared" si="1043"/>
        <v>51</v>
      </c>
      <c r="I411" s="176">
        <f t="shared" si="1044" ref="I411:K412">I360-H360</f>
        <v>70</v>
      </c>
      <c r="J411" s="176">
        <f t="shared" si="1044"/>
        <v>50</v>
      </c>
      <c r="K411" s="176">
        <f t="shared" si="1044"/>
        <v>70</v>
      </c>
      <c r="L411" s="971">
        <f>L360</f>
        <v>241</v>
      </c>
      <c r="M411" s="176">
        <f>M360</f>
        <v>47</v>
      </c>
      <c r="N411" s="176">
        <f t="shared" si="1045" ref="N411:P412">N360-M360</f>
        <v>80</v>
      </c>
      <c r="O411" s="176">
        <f t="shared" si="1045"/>
        <v>61</v>
      </c>
      <c r="P411" s="176">
        <f t="shared" si="1045"/>
        <v>48</v>
      </c>
      <c r="Q411" s="971">
        <f>Q360</f>
        <v>236</v>
      </c>
      <c r="R411" s="176">
        <f>R360</f>
        <v>54</v>
      </c>
      <c r="S411" s="176">
        <f t="shared" si="1046" ref="S411:U412">S360-R360</f>
        <v>47</v>
      </c>
      <c r="T411" s="176">
        <f t="shared" si="1046"/>
        <v>54</v>
      </c>
      <c r="U411" s="176">
        <f t="shared" si="1046"/>
        <v>56</v>
      </c>
      <c r="V411" s="971">
        <f>V360</f>
        <v>211</v>
      </c>
      <c r="W411" s="176">
        <f>W360</f>
        <v>47</v>
      </c>
      <c r="X411" s="176">
        <f t="shared" si="1047" ref="X411:Z412">X360-W360</f>
        <v>56</v>
      </c>
      <c r="Y411" s="176">
        <f t="shared" si="1047"/>
        <v>41</v>
      </c>
      <c r="Z411" s="176">
        <f t="shared" si="1047"/>
        <v>52</v>
      </c>
      <c r="AA411" s="971">
        <f>AA360</f>
        <v>196</v>
      </c>
      <c r="AB411" s="176">
        <f>AB360</f>
        <v>36</v>
      </c>
      <c r="AC411" s="176">
        <f t="shared" si="1048" ref="AC411:AE412">AC360-AB360</f>
        <v>54</v>
      </c>
      <c r="AD411" s="176">
        <f t="shared" si="1048"/>
        <v>34</v>
      </c>
      <c r="AE411" s="176">
        <f t="shared" si="1048"/>
        <v>57</v>
      </c>
      <c r="AF411" s="971">
        <f>AF360</f>
        <v>181</v>
      </c>
      <c r="AG411" s="176">
        <f>AG360</f>
        <v>36</v>
      </c>
      <c r="AH411" s="176">
        <f t="shared" si="1049" ref="AH411:AJ412">AH360-AG360</f>
        <v>57</v>
      </c>
      <c r="AI411" s="176">
        <f t="shared" si="1049"/>
        <v>39</v>
      </c>
      <c r="AJ411" s="176">
        <f t="shared" si="1049"/>
        <v>58</v>
      </c>
      <c r="AK411" s="971">
        <f>AK360</f>
        <v>190</v>
      </c>
      <c r="AL411" s="176">
        <f>AL360</f>
        <v>39</v>
      </c>
      <c r="AM411" s="176">
        <f t="shared" si="1050" ref="AM411:AO412">AM360-AL360</f>
        <v>58</v>
      </c>
      <c r="AN411" s="176">
        <f t="shared" si="1050"/>
        <v>34</v>
      </c>
      <c r="AO411" s="176">
        <f t="shared" si="1050"/>
        <v>79</v>
      </c>
      <c r="AP411" s="971">
        <f>AP360</f>
        <v>210</v>
      </c>
      <c r="AQ411" s="176">
        <f>AQ360</f>
        <v>35</v>
      </c>
      <c r="AR411" s="176">
        <f t="shared" si="1051" ref="AR411:AT412">AR360-AQ360</f>
        <v>74</v>
      </c>
      <c r="AS411" s="176">
        <f t="shared" si="1051"/>
        <v>37</v>
      </c>
      <c r="AT411" s="176">
        <f t="shared" si="1051"/>
        <v>67</v>
      </c>
      <c r="AU411" s="971">
        <f>AU360</f>
        <v>213</v>
      </c>
      <c r="AV411" s="176">
        <f>AV360</f>
        <v>37</v>
      </c>
      <c r="AW411" s="176">
        <f t="shared" si="1052" ref="AW411:AY412">AW360-AV360</f>
        <v>67</v>
      </c>
      <c r="AX411" s="176">
        <f t="shared" si="1052"/>
        <v>49</v>
      </c>
      <c r="AY411" s="176">
        <f t="shared" si="1052"/>
        <v>58</v>
      </c>
      <c r="AZ411" s="971">
        <f>AZ360</f>
        <v>211</v>
      </c>
      <c r="BA411" s="176">
        <f>BA360</f>
        <v>37</v>
      </c>
      <c r="BB411" s="176">
        <f>BB360-BA360</f>
        <v>57</v>
      </c>
      <c r="BC411" s="176">
        <f>BC360-BB360</f>
        <v>38</v>
      </c>
      <c r="BD411" s="176">
        <f t="shared" si="1053" ref="BD411:BD412">BD360-BC360</f>
        <v>53</v>
      </c>
      <c r="BE411" s="971">
        <f>BE360</f>
        <v>185</v>
      </c>
      <c r="BF411" s="176">
        <f>BF360</f>
        <v>34</v>
      </c>
      <c r="BG411" s="176">
        <f>BG360-BF360</f>
        <v>53</v>
      </c>
      <c r="BH411" s="551">
        <f>BH360-BG360</f>
        <v>40</v>
      </c>
      <c r="BI411" s="176"/>
      <c r="BJ411" s="971"/>
      <c r="BK411" s="176"/>
      <c r="BL411" s="176"/>
      <c r="BM411" s="176"/>
      <c r="BN411" s="176"/>
      <c r="BO411" s="971"/>
      <c r="BP411" s="971"/>
      <c r="BQ411" s="971"/>
      <c r="BR411" s="971"/>
      <c r="BS411" s="113"/>
    </row>
    <row r="412" spans="1:71" s="224" customFormat="1" ht="15">
      <c r="A412" s="370" t="str">
        <f>A361</f>
        <v>Cash paid (received) for income taxes</v>
      </c>
      <c r="B412" s="363"/>
      <c r="C412" s="971">
        <f t="shared" si="1043"/>
        <v>627</v>
      </c>
      <c r="D412" s="971">
        <f t="shared" si="1043"/>
        <v>1017</v>
      </c>
      <c r="E412" s="971">
        <f t="shared" si="1043"/>
        <v>828</v>
      </c>
      <c r="F412" s="971">
        <f t="shared" si="1043"/>
        <v>788</v>
      </c>
      <c r="G412" s="971">
        <f t="shared" si="1043"/>
        <v>754</v>
      </c>
      <c r="H412" s="176">
        <f t="shared" si="1043"/>
        <v>699</v>
      </c>
      <c r="I412" s="176">
        <f t="shared" si="1044"/>
        <v>174</v>
      </c>
      <c r="J412" s="176">
        <f t="shared" si="1044"/>
        <v>539</v>
      </c>
      <c r="K412" s="176">
        <f t="shared" si="1044"/>
        <v>4</v>
      </c>
      <c r="L412" s="971">
        <f>L361</f>
        <v>1416</v>
      </c>
      <c r="M412" s="176">
        <f>M361</f>
        <v>517</v>
      </c>
      <c r="N412" s="176">
        <f t="shared" si="1045"/>
        <v>10</v>
      </c>
      <c r="O412" s="176">
        <f t="shared" si="1045"/>
        <v>469</v>
      </c>
      <c r="P412" s="176">
        <f t="shared" si="1045"/>
        <v>0</v>
      </c>
      <c r="Q412" s="971">
        <f>Q361</f>
        <v>996</v>
      </c>
      <c r="R412" s="176">
        <f>R361</f>
        <v>779</v>
      </c>
      <c r="S412" s="176">
        <f t="shared" si="1046"/>
        <v>165</v>
      </c>
      <c r="T412" s="176">
        <f t="shared" si="1046"/>
        <v>650</v>
      </c>
      <c r="U412" s="176">
        <f t="shared" si="1046"/>
        <v>-68</v>
      </c>
      <c r="V412" s="971">
        <f>V361</f>
        <v>1526</v>
      </c>
      <c r="W412" s="176">
        <f>W361</f>
        <v>58</v>
      </c>
      <c r="X412" s="176">
        <f t="shared" si="1047"/>
        <v>235</v>
      </c>
      <c r="Y412" s="176">
        <f t="shared" si="1047"/>
        <v>400</v>
      </c>
      <c r="Z412" s="176">
        <f t="shared" si="1047"/>
        <v>87</v>
      </c>
      <c r="AA412" s="971">
        <f>AA361</f>
        <v>780</v>
      </c>
      <c r="AB412" s="176">
        <f>AB361</f>
        <v>396</v>
      </c>
      <c r="AC412" s="176">
        <f t="shared" si="1048"/>
        <v>348</v>
      </c>
      <c r="AD412" s="176">
        <f t="shared" si="1048"/>
        <v>83</v>
      </c>
      <c r="AE412" s="176">
        <f t="shared" si="1048"/>
        <v>171</v>
      </c>
      <c r="AF412" s="971">
        <f>AF361</f>
        <v>998</v>
      </c>
      <c r="AG412" s="176">
        <f>AG361</f>
        <v>-2</v>
      </c>
      <c r="AH412" s="176">
        <f t="shared" si="1049"/>
        <v>876</v>
      </c>
      <c r="AI412" s="176">
        <f t="shared" si="1049"/>
        <v>76</v>
      </c>
      <c r="AJ412" s="176">
        <f t="shared" si="1049"/>
        <v>434</v>
      </c>
      <c r="AK412" s="971">
        <f>AK361</f>
        <v>1384</v>
      </c>
      <c r="AL412" s="176">
        <f>AL361</f>
        <v>2</v>
      </c>
      <c r="AM412" s="176">
        <f t="shared" si="1050"/>
        <v>534</v>
      </c>
      <c r="AN412" s="176">
        <f t="shared" si="1050"/>
        <v>90</v>
      </c>
      <c r="AO412" s="176">
        <f t="shared" si="1050"/>
        <v>174</v>
      </c>
      <c r="AP412" s="971">
        <f>AP361</f>
        <v>800</v>
      </c>
      <c r="AQ412" s="176">
        <f>AQ361</f>
        <v>-20</v>
      </c>
      <c r="AR412" s="176">
        <f t="shared" si="1051"/>
        <v>500</v>
      </c>
      <c r="AS412" s="176">
        <f t="shared" si="1051"/>
        <v>-2</v>
      </c>
      <c r="AT412" s="176">
        <f t="shared" si="1051"/>
        <v>402</v>
      </c>
      <c r="AU412" s="971">
        <f>AU361</f>
        <v>880</v>
      </c>
      <c r="AV412" s="176">
        <f>AV361</f>
        <v>-77</v>
      </c>
      <c r="AW412" s="176">
        <f t="shared" si="1052"/>
        <v>582</v>
      </c>
      <c r="AX412" s="176">
        <f t="shared" si="1052"/>
        <v>95</v>
      </c>
      <c r="AY412" s="176">
        <f t="shared" si="1052"/>
        <v>361</v>
      </c>
      <c r="AZ412" s="971">
        <f>AZ361</f>
        <v>961</v>
      </c>
      <c r="BA412" s="176">
        <f>BA361</f>
        <v>0</v>
      </c>
      <c r="BB412" s="176">
        <f>BB361-BA361</f>
        <v>765</v>
      </c>
      <c r="BC412" s="176">
        <f>BC361-BB361</f>
        <v>105</v>
      </c>
      <c r="BD412" s="176">
        <f t="shared" si="1053"/>
        <v>699</v>
      </c>
      <c r="BE412" s="971">
        <f>BE361</f>
        <v>1569</v>
      </c>
      <c r="BF412" s="176">
        <f>BF361</f>
        <v>0</v>
      </c>
      <c r="BG412" s="176">
        <f>BG361-BF361</f>
        <v>777</v>
      </c>
      <c r="BH412" s="551">
        <f>BH361-BG361</f>
        <v>28</v>
      </c>
      <c r="BI412" s="176"/>
      <c r="BJ412" s="971"/>
      <c r="BK412" s="176"/>
      <c r="BL412" s="176"/>
      <c r="BM412" s="176"/>
      <c r="BN412" s="176"/>
      <c r="BO412" s="971"/>
      <c r="BP412" s="971"/>
      <c r="BQ412" s="971"/>
      <c r="BR412" s="971"/>
      <c r="BS412" s="113"/>
    </row>
    <row r="413" spans="1:71" s="44" customFormat="1" ht="15">
      <c r="A413" s="368"/>
      <c r="B413" s="369"/>
      <c r="C413" s="978"/>
      <c r="D413" s="978"/>
      <c r="E413" s="978"/>
      <c r="F413" s="978"/>
      <c r="G413" s="978"/>
      <c r="H413" s="185"/>
      <c r="I413" s="185"/>
      <c r="J413" s="185"/>
      <c r="K413" s="185"/>
      <c r="L413" s="978"/>
      <c r="M413" s="185"/>
      <c r="N413" s="185"/>
      <c r="O413" s="185"/>
      <c r="P413" s="185"/>
      <c r="Q413" s="978"/>
      <c r="R413" s="185"/>
      <c r="S413" s="185"/>
      <c r="T413" s="185"/>
      <c r="U413" s="185"/>
      <c r="V413" s="978"/>
      <c r="W413" s="185"/>
      <c r="X413" s="185"/>
      <c r="Y413" s="185"/>
      <c r="Z413" s="185"/>
      <c r="AA413" s="978"/>
      <c r="AB413" s="185"/>
      <c r="AC413" s="185"/>
      <c r="AD413" s="185"/>
      <c r="AE413" s="185"/>
      <c r="AF413" s="978"/>
      <c r="AG413" s="185"/>
      <c r="AH413" s="185"/>
      <c r="AI413" s="185"/>
      <c r="AJ413" s="185"/>
      <c r="AK413" s="978"/>
      <c r="AL413" s="185"/>
      <c r="AM413" s="185"/>
      <c r="AN413" s="185"/>
      <c r="AO413" s="185"/>
      <c r="AP413" s="978"/>
      <c r="AQ413" s="185"/>
      <c r="AR413" s="185"/>
      <c r="AS413" s="185"/>
      <c r="AT413" s="185"/>
      <c r="AU413" s="978"/>
      <c r="AV413" s="185"/>
      <c r="AW413" s="185"/>
      <c r="AX413" s="185"/>
      <c r="AY413" s="185"/>
      <c r="AZ413" s="978"/>
      <c r="BA413" s="185"/>
      <c r="BB413" s="185"/>
      <c r="BC413" s="185"/>
      <c r="BD413" s="185"/>
      <c r="BE413" s="978"/>
      <c r="BF413" s="185"/>
      <c r="BG413" s="185"/>
      <c r="BH413" s="552"/>
      <c r="BI413" s="185"/>
      <c r="BJ413" s="978"/>
      <c r="BK413" s="185"/>
      <c r="BL413" s="185"/>
      <c r="BM413" s="185"/>
      <c r="BN413" s="185"/>
      <c r="BO413" s="978"/>
      <c r="BP413" s="978"/>
      <c r="BQ413" s="978"/>
      <c r="BR413" s="978"/>
      <c r="BS413" s="100"/>
    </row>
    <row r="414" spans="1:71" s="224" customFormat="1" ht="15">
      <c r="A414" s="23" t="s">
        <v>139</v>
      </c>
      <c r="B414" s="23"/>
      <c r="C414" s="24">
        <f t="shared" si="1054" ref="C414:AS414">ROUND(C409-C423,6)</f>
        <v>0</v>
      </c>
      <c r="D414" s="24">
        <f t="shared" si="1054"/>
        <v>0</v>
      </c>
      <c r="E414" s="24">
        <f t="shared" si="1054"/>
        <v>0</v>
      </c>
      <c r="F414" s="24">
        <f t="shared" si="1054"/>
        <v>0</v>
      </c>
      <c r="G414" s="24">
        <f t="shared" si="1054"/>
        <v>0</v>
      </c>
      <c r="H414" s="24">
        <f t="shared" si="1054"/>
        <v>0</v>
      </c>
      <c r="I414" s="24">
        <f t="shared" si="1054"/>
        <v>0</v>
      </c>
      <c r="J414" s="24">
        <f t="shared" si="1054"/>
        <v>0</v>
      </c>
      <c r="K414" s="24">
        <f t="shared" si="1054"/>
        <v>0</v>
      </c>
      <c r="L414" s="24">
        <f t="shared" si="1054"/>
        <v>0</v>
      </c>
      <c r="M414" s="24">
        <f t="shared" si="1054"/>
        <v>0</v>
      </c>
      <c r="N414" s="24">
        <f t="shared" si="1054"/>
        <v>0</v>
      </c>
      <c r="O414" s="24">
        <f t="shared" si="1054"/>
        <v>0</v>
      </c>
      <c r="P414" s="24">
        <f t="shared" si="1054"/>
        <v>0</v>
      </c>
      <c r="Q414" s="24">
        <f t="shared" si="1054"/>
        <v>0</v>
      </c>
      <c r="R414" s="24">
        <f t="shared" si="1054"/>
        <v>0</v>
      </c>
      <c r="S414" s="24">
        <f t="shared" si="1054"/>
        <v>0</v>
      </c>
      <c r="T414" s="24">
        <f t="shared" si="1054"/>
        <v>0</v>
      </c>
      <c r="U414" s="24">
        <f t="shared" si="1054"/>
        <v>0</v>
      </c>
      <c r="V414" s="24">
        <f t="shared" si="1054"/>
        <v>0</v>
      </c>
      <c r="W414" s="24">
        <f t="shared" si="1054"/>
        <v>0</v>
      </c>
      <c r="X414" s="24">
        <f t="shared" si="1054"/>
        <v>0</v>
      </c>
      <c r="Y414" s="24">
        <f t="shared" si="1054"/>
        <v>0</v>
      </c>
      <c r="Z414" s="24">
        <f t="shared" si="1054"/>
        <v>0</v>
      </c>
      <c r="AA414" s="24">
        <f t="shared" si="1054"/>
        <v>0</v>
      </c>
      <c r="AB414" s="24">
        <f t="shared" si="1054"/>
        <v>0</v>
      </c>
      <c r="AC414" s="24">
        <f t="shared" si="1054"/>
        <v>0</v>
      </c>
      <c r="AD414" s="24">
        <f t="shared" si="1054"/>
        <v>0</v>
      </c>
      <c r="AE414" s="24">
        <f t="shared" si="1054"/>
        <v>0</v>
      </c>
      <c r="AF414" s="24">
        <f t="shared" si="1054"/>
        <v>0</v>
      </c>
      <c r="AG414" s="24">
        <f t="shared" si="1054"/>
        <v>0</v>
      </c>
      <c r="AH414" s="24">
        <f t="shared" si="1054"/>
        <v>0</v>
      </c>
      <c r="AI414" s="24">
        <f t="shared" si="1054"/>
        <v>0</v>
      </c>
      <c r="AJ414" s="24">
        <f t="shared" si="1054"/>
        <v>0</v>
      </c>
      <c r="AK414" s="24">
        <f t="shared" si="1054"/>
        <v>0</v>
      </c>
      <c r="AL414" s="24">
        <f t="shared" si="1054"/>
        <v>0</v>
      </c>
      <c r="AM414" s="24">
        <f t="shared" si="1054"/>
        <v>0</v>
      </c>
      <c r="AN414" s="24">
        <f t="shared" si="1054"/>
        <v>0</v>
      </c>
      <c r="AO414" s="24">
        <f t="shared" si="1054"/>
        <v>0</v>
      </c>
      <c r="AP414" s="24">
        <f t="shared" si="1054"/>
        <v>0</v>
      </c>
      <c r="AQ414" s="24">
        <f t="shared" si="1054"/>
        <v>0</v>
      </c>
      <c r="AR414" s="24">
        <f t="shared" si="1054"/>
        <v>0</v>
      </c>
      <c r="AS414" s="24">
        <f t="shared" si="1054"/>
        <v>0</v>
      </c>
      <c r="AT414" s="24">
        <f t="shared" si="1055" ref="AT414:AU414">ROUND(AT409-AT423,6)</f>
        <v>0</v>
      </c>
      <c r="AU414" s="24">
        <f t="shared" si="1055"/>
        <v>0</v>
      </c>
      <c r="AV414" s="24">
        <f t="shared" si="1056" ref="AV414:AZ414">ROUND(AV409-AV423,6)</f>
        <v>0</v>
      </c>
      <c r="AW414" s="24">
        <f t="shared" si="1056"/>
        <v>0</v>
      </c>
      <c r="AX414" s="24">
        <f t="shared" si="1056"/>
        <v>0</v>
      </c>
      <c r="AY414" s="24">
        <f t="shared" si="1056"/>
        <v>0</v>
      </c>
      <c r="AZ414" s="24">
        <f t="shared" si="1056"/>
        <v>0</v>
      </c>
      <c r="BA414" s="24">
        <f t="shared" si="1057" ref="BA414:BJ414">ROUND(BA409-BA423,6)</f>
        <v>0</v>
      </c>
      <c r="BB414" s="24">
        <f t="shared" si="1057"/>
        <v>0</v>
      </c>
      <c r="BC414" s="24">
        <f>ROUND(BC409-BC423,6)</f>
        <v>0</v>
      </c>
      <c r="BD414" s="24">
        <f t="shared" si="1057"/>
        <v>0</v>
      </c>
      <c r="BE414" s="24">
        <f t="shared" si="1057"/>
        <v>0</v>
      </c>
      <c r="BF414" s="24">
        <f>ROUND(BF409-BF423,6)</f>
        <v>0</v>
      </c>
      <c r="BG414" s="24">
        <f>ROUND(BG409-BG423,6)</f>
        <v>0</v>
      </c>
      <c r="BH414" s="554">
        <f>ROUND(BH409-BH423,6)</f>
        <v>0</v>
      </c>
      <c r="BI414" s="24">
        <f ca="1">ROUND(BI409-BI423,6)</f>
        <v>0</v>
      </c>
      <c r="BJ414" s="24">
        <f t="shared" ca="1" si="1057"/>
        <v>0</v>
      </c>
      <c r="BK414" s="24">
        <f ca="1" t="shared" si="1058" ref="BK414:BR414">ROUND(BK409-BK423,6)</f>
        <v>0</v>
      </c>
      <c r="BL414" s="24">
        <f t="shared" ca="1" si="1058"/>
        <v>0</v>
      </c>
      <c r="BM414" s="24">
        <f t="shared" ca="1" si="1058"/>
        <v>0</v>
      </c>
      <c r="BN414" s="24">
        <f t="shared" ca="1" si="1058"/>
        <v>0</v>
      </c>
      <c r="BO414" s="24">
        <f t="shared" ca="1" si="1058"/>
        <v>0</v>
      </c>
      <c r="BP414" s="24">
        <f t="shared" ca="1" si="1058"/>
        <v>0</v>
      </c>
      <c r="BQ414" s="24">
        <f t="shared" ca="1" si="1058"/>
        <v>0</v>
      </c>
      <c r="BR414" s="24">
        <f t="shared" ca="1" si="1058"/>
        <v>0</v>
      </c>
      <c r="BS414" s="229"/>
    </row>
    <row r="415" spans="1:71" s="43" customFormat="1" ht="15">
      <c r="A415" s="501"/>
      <c r="B415" s="502"/>
      <c r="C415" s="1018"/>
      <c r="D415" s="1018"/>
      <c r="E415" s="1018"/>
      <c r="F415" s="1018"/>
      <c r="G415" s="1018"/>
      <c r="H415" s="839"/>
      <c r="I415" s="839"/>
      <c r="J415" s="839"/>
      <c r="K415" s="839"/>
      <c r="L415" s="1018"/>
      <c r="M415" s="839"/>
      <c r="N415" s="839"/>
      <c r="O415" s="839"/>
      <c r="P415" s="839"/>
      <c r="Q415" s="1018"/>
      <c r="R415" s="839"/>
      <c r="S415" s="839"/>
      <c r="T415" s="839"/>
      <c r="U415" s="839"/>
      <c r="V415" s="1018"/>
      <c r="W415" s="839"/>
      <c r="X415" s="839"/>
      <c r="Y415" s="839"/>
      <c r="Z415" s="839"/>
      <c r="AA415" s="1018"/>
      <c r="AB415" s="839"/>
      <c r="AC415" s="839"/>
      <c r="AD415" s="839"/>
      <c r="AE415" s="839"/>
      <c r="AF415" s="1018"/>
      <c r="AG415" s="839"/>
      <c r="AH415" s="839"/>
      <c r="AI415" s="839"/>
      <c r="AJ415" s="839"/>
      <c r="AK415" s="1018"/>
      <c r="AL415" s="839"/>
      <c r="AM415" s="839"/>
      <c r="AN415" s="839"/>
      <c r="AO415" s="839"/>
      <c r="AP415" s="1018"/>
      <c r="AQ415" s="839"/>
      <c r="AR415" s="839"/>
      <c r="AS415" s="839"/>
      <c r="AT415" s="839"/>
      <c r="AU415" s="1018"/>
      <c r="AV415" s="839"/>
      <c r="AW415" s="839"/>
      <c r="AX415" s="839"/>
      <c r="AY415" s="839"/>
      <c r="AZ415" s="1018"/>
      <c r="BA415" s="839"/>
      <c r="BB415" s="839"/>
      <c r="BC415" s="839"/>
      <c r="BD415" s="839"/>
      <c r="BE415" s="1018"/>
      <c r="BF415" s="839"/>
      <c r="BG415" s="839"/>
      <c r="BH415" s="840"/>
      <c r="BI415" s="839"/>
      <c r="BJ415" s="1018"/>
      <c r="BK415" s="839"/>
      <c r="BL415" s="839"/>
      <c r="BM415" s="839"/>
      <c r="BN415" s="839"/>
      <c r="BO415" s="1018"/>
      <c r="BP415" s="1018"/>
      <c r="BQ415" s="1018"/>
      <c r="BR415" s="1018"/>
      <c r="BS415" s="475"/>
    </row>
    <row r="416" spans="1:71" s="43" customFormat="1" ht="15">
      <c r="A416" s="812" t="s">
        <v>140</v>
      </c>
      <c r="B416" s="812"/>
      <c r="C416" s="828"/>
      <c r="D416" s="828"/>
      <c r="E416" s="828"/>
      <c r="F416" s="828"/>
      <c r="G416" s="828"/>
      <c r="H416" s="828"/>
      <c r="I416" s="828"/>
      <c r="J416" s="828"/>
      <c r="K416" s="828"/>
      <c r="L416" s="828"/>
      <c r="M416" s="828"/>
      <c r="N416" s="828"/>
      <c r="O416" s="828"/>
      <c r="P416" s="828"/>
      <c r="Q416" s="828"/>
      <c r="R416" s="828"/>
      <c r="S416" s="828"/>
      <c r="T416" s="828"/>
      <c r="U416" s="828"/>
      <c r="V416" s="828"/>
      <c r="W416" s="828"/>
      <c r="X416" s="828"/>
      <c r="Y416" s="828"/>
      <c r="Z416" s="828"/>
      <c r="AA416" s="828"/>
      <c r="AB416" s="828"/>
      <c r="AC416" s="828"/>
      <c r="AD416" s="828"/>
      <c r="AE416" s="828"/>
      <c r="AF416" s="828"/>
      <c r="AG416" s="828"/>
      <c r="AH416" s="828"/>
      <c r="AI416" s="828"/>
      <c r="AJ416" s="828"/>
      <c r="AK416" s="828"/>
      <c r="AL416" s="828"/>
      <c r="AM416" s="828"/>
      <c r="AN416" s="828"/>
      <c r="AO416" s="828"/>
      <c r="AP416" s="828"/>
      <c r="AQ416" s="828"/>
      <c r="AR416" s="828"/>
      <c r="AS416" s="828"/>
      <c r="AT416" s="828"/>
      <c r="AU416" s="828"/>
      <c r="AV416" s="849" t="s">
        <v>458</v>
      </c>
      <c r="AW416" s="849" t="s">
        <v>458</v>
      </c>
      <c r="AX416" s="849" t="s">
        <v>458</v>
      </c>
      <c r="AY416" s="849" t="s">
        <v>458</v>
      </c>
      <c r="AZ416" s="849" t="s">
        <v>458</v>
      </c>
      <c r="BA416" s="828"/>
      <c r="BB416" s="828"/>
      <c r="BC416" s="828"/>
      <c r="BD416" s="828"/>
      <c r="BE416" s="828"/>
      <c r="BF416" s="828"/>
      <c r="BG416" s="828"/>
      <c r="BH416" s="829"/>
      <c r="BI416" s="828"/>
      <c r="BJ416" s="828"/>
      <c r="BK416" s="828"/>
      <c r="BL416" s="828"/>
      <c r="BM416" s="828"/>
      <c r="BN416" s="828"/>
      <c r="BO416" s="828"/>
      <c r="BP416" s="828"/>
      <c r="BQ416" s="828"/>
      <c r="BR416" s="828"/>
      <c r="BS416" s="475"/>
    </row>
    <row r="417" spans="1:71" s="43" customFormat="1" ht="15">
      <c r="A417" s="90" t="s">
        <v>141</v>
      </c>
      <c r="B417" s="502"/>
      <c r="C417" s="1018"/>
      <c r="D417" s="1018"/>
      <c r="E417" s="1018"/>
      <c r="F417" s="1018"/>
      <c r="G417" s="1018"/>
      <c r="H417" s="839"/>
      <c r="I417" s="839"/>
      <c r="J417" s="839"/>
      <c r="K417" s="839"/>
      <c r="L417" s="1018"/>
      <c r="M417" s="839"/>
      <c r="N417" s="839"/>
      <c r="O417" s="839"/>
      <c r="P417" s="839"/>
      <c r="Q417" s="1018"/>
      <c r="R417" s="839"/>
      <c r="S417" s="839"/>
      <c r="T417" s="839"/>
      <c r="U417" s="839"/>
      <c r="V417" s="1018"/>
      <c r="W417" s="839"/>
      <c r="X417" s="839"/>
      <c r="Y417" s="839"/>
      <c r="Z417" s="839"/>
      <c r="AA417" s="1018"/>
      <c r="AB417" s="839"/>
      <c r="AC417" s="839"/>
      <c r="AD417" s="839"/>
      <c r="AE417" s="839"/>
      <c r="AF417" s="1018"/>
      <c r="AG417" s="839"/>
      <c r="AH417" s="839"/>
      <c r="AI417" s="839"/>
      <c r="AJ417" s="839"/>
      <c r="AK417" s="1018"/>
      <c r="AL417" s="839"/>
      <c r="AM417" s="839"/>
      <c r="AN417" s="839"/>
      <c r="AO417" s="839"/>
      <c r="AP417" s="1018"/>
      <c r="AQ417" s="839"/>
      <c r="AR417" s="839"/>
      <c r="AS417" s="839"/>
      <c r="AT417" s="839"/>
      <c r="AU417" s="1018"/>
      <c r="AV417" s="839"/>
      <c r="AW417" s="839"/>
      <c r="AX417" s="839"/>
      <c r="AY417" s="839"/>
      <c r="AZ417" s="1018"/>
      <c r="BA417" s="839"/>
      <c r="BB417" s="839"/>
      <c r="BC417" s="839"/>
      <c r="BD417" s="839"/>
      <c r="BE417" s="1018"/>
      <c r="BF417" s="839"/>
      <c r="BG417" s="839"/>
      <c r="BH417" s="840"/>
      <c r="BI417" s="839"/>
      <c r="BJ417" s="1018"/>
      <c r="BK417" s="839"/>
      <c r="BL417" s="839"/>
      <c r="BM417" s="839"/>
      <c r="BN417" s="839"/>
      <c r="BO417" s="1018"/>
      <c r="BP417" s="1018"/>
      <c r="BQ417" s="1018"/>
      <c r="BR417" s="1018"/>
      <c r="BS417" s="475"/>
    </row>
    <row r="418" spans="1:71" s="224" customFormat="1" ht="15" hidden="1" outlineLevel="1">
      <c r="A418" s="75" t="s">
        <v>142</v>
      </c>
      <c r="B418" s="363"/>
      <c r="C418" s="1002">
        <v>36781</v>
      </c>
      <c r="D418" s="1002">
        <v>48355</v>
      </c>
      <c r="E418" s="1002">
        <v>47572</v>
      </c>
      <c r="F418" s="1002">
        <v>57253</v>
      </c>
      <c r="G418" s="1002">
        <v>58070</v>
      </c>
      <c r="H418" s="908">
        <v>64281</v>
      </c>
      <c r="I418" s="908">
        <v>67829</v>
      </c>
      <c r="J418" s="908">
        <v>67232</v>
      </c>
      <c r="K418" s="908">
        <v>65573</v>
      </c>
      <c r="L418" s="1002">
        <v>65573</v>
      </c>
      <c r="M418" s="908">
        <v>67319</v>
      </c>
      <c r="N418" s="908">
        <v>64442</v>
      </c>
      <c r="O418" s="908">
        <v>65106</v>
      </c>
      <c r="P418" s="908">
        <v>65349</v>
      </c>
      <c r="Q418" s="1002">
        <v>65349</v>
      </c>
      <c r="R418" s="908">
        <v>72128</v>
      </c>
      <c r="S418" s="908">
        <v>80286</v>
      </c>
      <c r="T418" s="908">
        <v>80527</v>
      </c>
      <c r="U418" s="908">
        <v>73760</v>
      </c>
      <c r="V418" s="1002">
        <v>73760</v>
      </c>
      <c r="W418" s="908">
        <v>77077</v>
      </c>
      <c r="X418" s="908">
        <v>79757</v>
      </c>
      <c r="Y418" s="908">
        <v>80415</v>
      </c>
      <c r="Z418" s="426">
        <f t="shared" si="1059" ref="Z418:Z423">AA418</f>
        <v>82524</v>
      </c>
      <c r="AA418" s="1002">
        <f>77230+5294</f>
        <v>82524</v>
      </c>
      <c r="AB418" s="908">
        <f>83602+5431</f>
        <v>89033</v>
      </c>
      <c r="AC418" s="908">
        <f>80679+5202</f>
        <v>85881</v>
      </c>
      <c r="AD418" s="908">
        <f>77443+4853</f>
        <v>82296</v>
      </c>
      <c r="AE418" s="426">
        <f t="shared" si="1060" ref="AE418:AE423">AF418</f>
        <v>82895</v>
      </c>
      <c r="AF418" s="1002">
        <f>78429+4466</f>
        <v>82895</v>
      </c>
      <c r="AG418" s="908">
        <f>83381+4543</f>
        <v>87924</v>
      </c>
      <c r="AH418" s="908">
        <f>87836+4599</f>
        <v>92435</v>
      </c>
      <c r="AI418" s="908">
        <f>89378+4562</f>
        <v>93940</v>
      </c>
      <c r="AJ418" s="426">
        <f t="shared" si="1061" ref="AJ418:AJ423">AK418</f>
        <v>91262</v>
      </c>
      <c r="AK418" s="1002">
        <f>86950+4312</f>
        <v>91262</v>
      </c>
      <c r="AL418" s="908">
        <f>92502+3786</f>
        <v>96288</v>
      </c>
      <c r="AM418" s="908">
        <f>95896+4063</f>
        <v>99959</v>
      </c>
      <c r="AN418" s="908">
        <f>98844+4284</f>
        <v>103128</v>
      </c>
      <c r="AO418" s="426">
        <f t="shared" si="1062" ref="AO418:AO423">AP418</f>
        <v>105882</v>
      </c>
      <c r="AP418" s="1002">
        <f>101286+4596</f>
        <v>105882</v>
      </c>
      <c r="AQ418" s="908">
        <f>96391+4353</f>
        <v>100744</v>
      </c>
      <c r="AR418" s="908">
        <f>97791+4493</f>
        <v>102284</v>
      </c>
      <c r="AS418" s="908">
        <f>96285+4437</f>
        <v>100722</v>
      </c>
      <c r="AT418" s="426">
        <f t="shared" si="1063" ref="AT418:AT423">AU418</f>
        <v>98696</v>
      </c>
      <c r="AU418" s="1002">
        <f>94206+4490</f>
        <v>98696</v>
      </c>
      <c r="AV418" s="908">
        <f>85795+4170</f>
        <v>89965</v>
      </c>
      <c r="AW418" s="908">
        <f>75611+3820</f>
        <v>79431</v>
      </c>
      <c r="AX418" s="908">
        <f>70026+3617</f>
        <v>73643</v>
      </c>
      <c r="AY418" s="426">
        <f t="shared" si="1064" ref="AY418:AY423">AZ418</f>
        <v>75741</v>
      </c>
      <c r="AZ418" s="1002">
        <f>71936+3805</f>
        <v>75741</v>
      </c>
      <c r="BA418" s="908">
        <f>74174+3925</f>
        <v>78099</v>
      </c>
      <c r="BB418" s="908">
        <f>70739+3766</f>
        <v>74505</v>
      </c>
      <c r="BC418" s="908">
        <f>66369+3432</f>
        <v>69801</v>
      </c>
      <c r="BD418" s="426">
        <f t="shared" si="1065" ref="BD418:BD423">BE418</f>
        <v>73290</v>
      </c>
      <c r="BE418" s="1002">
        <f>69578+3712</f>
        <v>73290</v>
      </c>
      <c r="BF418" s="908">
        <f>66452+3678</f>
        <v>70130</v>
      </c>
      <c r="BG418" s="908">
        <f>62582+3677</f>
        <v>66259</v>
      </c>
      <c r="BH418" s="909">
        <f>68261+4031</f>
        <v>72292</v>
      </c>
      <c r="BI418" s="176">
        <f>BH418-BI377-BI384</f>
        <v>74363.250000000015</v>
      </c>
      <c r="BJ418" s="971">
        <f t="shared" si="1066" ref="BJ418:BJ429">BI418</f>
        <v>74363.250000000015</v>
      </c>
      <c r="BK418" s="176">
        <f>BJ418-BK377-BK384</f>
        <v>71914.139999999999</v>
      </c>
      <c r="BL418" s="176">
        <f>BK418-BL377-BL384</f>
        <v>66848.459999999992</v>
      </c>
      <c r="BM418" s="176">
        <f>BL418-BM377-BM384</f>
        <v>74854.710000000006</v>
      </c>
      <c r="BN418" s="176">
        <f>BM418-BN377-BN384</f>
        <v>76976.365500000014</v>
      </c>
      <c r="BO418" s="971">
        <f t="shared" si="1067" ref="BO418:BO429">BN418</f>
        <v>76976.365500000014</v>
      </c>
      <c r="BP418" s="971">
        <f>BO418-BP377-BP384</f>
        <v>78764.55385500002</v>
      </c>
      <c r="BQ418" s="971">
        <f>BP418-BQ377-BQ384</f>
        <v>80606.051828550029</v>
      </c>
      <c r="BR418" s="971">
        <f>BQ418-BR377-BR384</f>
        <v>82503.163903585519</v>
      </c>
      <c r="BS418" s="229"/>
    </row>
    <row r="419" spans="1:71" s="224" customFormat="1" ht="15" hidden="1" outlineLevel="1">
      <c r="A419" s="75" t="s">
        <v>143</v>
      </c>
      <c r="B419" s="363"/>
      <c r="C419" s="1002">
        <v>7263</v>
      </c>
      <c r="D419" s="1002">
        <v>7512</v>
      </c>
      <c r="E419" s="1002">
        <v>6439</v>
      </c>
      <c r="F419" s="1002">
        <v>4302</v>
      </c>
      <c r="G419" s="1002">
        <v>2947</v>
      </c>
      <c r="H419" s="908">
        <v>3016</v>
      </c>
      <c r="I419" s="908">
        <v>3168</v>
      </c>
      <c r="J419" s="908">
        <v>3026</v>
      </c>
      <c r="K419" s="908">
        <v>2669</v>
      </c>
      <c r="L419" s="1002">
        <v>2669</v>
      </c>
      <c r="M419" s="908">
        <v>2560</v>
      </c>
      <c r="N419" s="908">
        <v>2214</v>
      </c>
      <c r="O419" s="908">
        <v>2166</v>
      </c>
      <c r="P419" s="908">
        <v>1947</v>
      </c>
      <c r="Q419" s="1002">
        <v>1947</v>
      </c>
      <c r="R419" s="908">
        <v>1909</v>
      </c>
      <c r="S419" s="908">
        <v>1832</v>
      </c>
      <c r="T419" s="908">
        <v>1994</v>
      </c>
      <c r="U419" s="908">
        <v>1633</v>
      </c>
      <c r="V419" s="1002">
        <v>1633</v>
      </c>
      <c r="W419" s="908">
        <v>1770</v>
      </c>
      <c r="X419" s="908">
        <v>1843</v>
      </c>
      <c r="Y419" s="908">
        <v>1863</v>
      </c>
      <c r="Z419" s="426">
        <f t="shared" si="1059"/>
        <v>1789</v>
      </c>
      <c r="AA419" s="1002">
        <f>1574+215</f>
        <v>1789</v>
      </c>
      <c r="AB419" s="139"/>
      <c r="AC419" s="139"/>
      <c r="AD419" s="139"/>
      <c r="AE419" s="426">
        <f t="shared" si="1060"/>
        <v>0</v>
      </c>
      <c r="AF419" s="1003"/>
      <c r="AG419" s="139"/>
      <c r="AH419" s="139"/>
      <c r="AI419" s="139"/>
      <c r="AJ419" s="426">
        <f t="shared" si="1061"/>
        <v>0</v>
      </c>
      <c r="AK419" s="1003"/>
      <c r="AL419" s="139"/>
      <c r="AM419" s="139"/>
      <c r="AN419" s="139"/>
      <c r="AO419" s="426">
        <f t="shared" si="1062"/>
        <v>0</v>
      </c>
      <c r="AP419" s="1003"/>
      <c r="AQ419" s="139"/>
      <c r="AR419" s="139"/>
      <c r="AS419" s="139"/>
      <c r="AT419" s="426">
        <f t="shared" si="1063"/>
        <v>0</v>
      </c>
      <c r="AU419" s="1003"/>
      <c r="AV419" s="139"/>
      <c r="AW419" s="139"/>
      <c r="AX419" s="139"/>
      <c r="AY419" s="426">
        <f t="shared" si="1064"/>
        <v>0</v>
      </c>
      <c r="AZ419" s="1003"/>
      <c r="BA419" s="139"/>
      <c r="BB419" s="139"/>
      <c r="BC419" s="139"/>
      <c r="BD419" s="426">
        <f t="shared" si="1065"/>
        <v>0</v>
      </c>
      <c r="BE419" s="1003"/>
      <c r="BF419" s="139"/>
      <c r="BG419" s="139"/>
      <c r="BH419" s="750"/>
      <c r="BI419" s="176">
        <f t="shared" si="1068" ref="BI419:BI422">BH419</f>
        <v>0</v>
      </c>
      <c r="BJ419" s="971">
        <f t="shared" si="1066"/>
        <v>0</v>
      </c>
      <c r="BK419" s="176">
        <f t="shared" si="1069" ref="BK419:BN422">BJ419</f>
        <v>0</v>
      </c>
      <c r="BL419" s="176">
        <f t="shared" si="1069"/>
        <v>0</v>
      </c>
      <c r="BM419" s="176">
        <f t="shared" si="1069"/>
        <v>0</v>
      </c>
      <c r="BN419" s="176">
        <f t="shared" si="1069"/>
        <v>0</v>
      </c>
      <c r="BO419" s="971">
        <f t="shared" si="1067"/>
        <v>0</v>
      </c>
      <c r="BP419" s="971">
        <f t="shared" si="1070" ref="BP419:BR422">BO419</f>
        <v>0</v>
      </c>
      <c r="BQ419" s="971">
        <f t="shared" si="1070"/>
        <v>0</v>
      </c>
      <c r="BR419" s="971">
        <f t="shared" si="1070"/>
        <v>0</v>
      </c>
      <c r="BS419" s="229"/>
    </row>
    <row r="420" spans="1:71" s="224" customFormat="1" ht="15" hidden="1" outlineLevel="1">
      <c r="A420" s="75" t="s">
        <v>144</v>
      </c>
      <c r="B420" s="363"/>
      <c r="C420" s="1002">
        <v>24</v>
      </c>
      <c r="D420" s="1002">
        <v>23</v>
      </c>
      <c r="E420" s="1002">
        <v>25</v>
      </c>
      <c r="F420" s="1002">
        <v>23</v>
      </c>
      <c r="G420" s="1002">
        <v>21</v>
      </c>
      <c r="H420" s="908">
        <v>21</v>
      </c>
      <c r="I420" s="908">
        <v>23</v>
      </c>
      <c r="J420" s="908">
        <v>23</v>
      </c>
      <c r="K420" s="908">
        <v>28</v>
      </c>
      <c r="L420" s="1002">
        <v>28</v>
      </c>
      <c r="M420" s="908">
        <v>28</v>
      </c>
      <c r="N420" s="908">
        <v>29</v>
      </c>
      <c r="O420" s="908">
        <v>131</v>
      </c>
      <c r="P420" s="908">
        <v>498</v>
      </c>
      <c r="Q420" s="1002">
        <v>498</v>
      </c>
      <c r="R420" s="908">
        <v>869</v>
      </c>
      <c r="S420" s="908">
        <v>1197</v>
      </c>
      <c r="T420" s="908">
        <v>1278</v>
      </c>
      <c r="U420" s="908">
        <v>1309</v>
      </c>
      <c r="V420" s="1002">
        <v>1309</v>
      </c>
      <c r="W420" s="908">
        <v>1349</v>
      </c>
      <c r="X420" s="908">
        <v>1403</v>
      </c>
      <c r="Y420" s="908">
        <v>928</v>
      </c>
      <c r="Z420" s="426">
        <f t="shared" si="1059"/>
        <v>1023</v>
      </c>
      <c r="AA420" s="1002">
        <f>270+753</f>
        <v>1023</v>
      </c>
      <c r="AB420" s="908">
        <f>348+760</f>
        <v>1108</v>
      </c>
      <c r="AC420" s="908">
        <f>348+755</f>
        <v>1103</v>
      </c>
      <c r="AD420" s="908">
        <f>880+179</f>
        <v>1059</v>
      </c>
      <c r="AE420" s="426">
        <f t="shared" si="1060"/>
        <v>987</v>
      </c>
      <c r="AF420" s="1002">
        <f>827+160</f>
        <v>987</v>
      </c>
      <c r="AG420" s="908">
        <v>1041</v>
      </c>
      <c r="AH420" s="908">
        <v>1087</v>
      </c>
      <c r="AI420" s="908">
        <v>830</v>
      </c>
      <c r="AJ420" s="426">
        <f t="shared" si="1061"/>
        <v>802</v>
      </c>
      <c r="AK420" s="1002">
        <v>802</v>
      </c>
      <c r="AL420" s="908">
        <v>660</v>
      </c>
      <c r="AM420" s="908">
        <v>749</v>
      </c>
      <c r="AN420" s="908">
        <v>775</v>
      </c>
      <c r="AO420" s="426">
        <f t="shared" si="1062"/>
        <v>1283</v>
      </c>
      <c r="AP420" s="1002">
        <v>1283</v>
      </c>
      <c r="AQ420" s="908">
        <v>1174</v>
      </c>
      <c r="AR420" s="908">
        <v>1475</v>
      </c>
      <c r="AS420" s="908">
        <v>1461</v>
      </c>
      <c r="AT420" s="426">
        <f t="shared" si="1063"/>
        <v>1603</v>
      </c>
      <c r="AU420" s="1002">
        <v>1603</v>
      </c>
      <c r="AV420" s="908">
        <v>1415</v>
      </c>
      <c r="AW420" s="908">
        <v>1149</v>
      </c>
      <c r="AX420" s="908">
        <v>1064</v>
      </c>
      <c r="AY420" s="426">
        <f t="shared" si="1064"/>
        <v>1091</v>
      </c>
      <c r="AZ420" s="1002">
        <v>1091</v>
      </c>
      <c r="BA420" s="908">
        <v>1087</v>
      </c>
      <c r="BB420" s="908">
        <v>965</v>
      </c>
      <c r="BC420" s="908">
        <v>990</v>
      </c>
      <c r="BD420" s="426">
        <f t="shared" si="1065"/>
        <v>1088</v>
      </c>
      <c r="BE420" s="1002">
        <v>1088</v>
      </c>
      <c r="BF420" s="908">
        <v>762</v>
      </c>
      <c r="BG420" s="908">
        <v>728</v>
      </c>
      <c r="BH420" s="909">
        <v>808</v>
      </c>
      <c r="BI420" s="176">
        <f t="shared" si="1068"/>
        <v>808</v>
      </c>
      <c r="BJ420" s="971">
        <f t="shared" si="1066"/>
        <v>808</v>
      </c>
      <c r="BK420" s="176">
        <f t="shared" si="1069"/>
        <v>808</v>
      </c>
      <c r="BL420" s="176">
        <f t="shared" si="1069"/>
        <v>808</v>
      </c>
      <c r="BM420" s="176">
        <f t="shared" si="1069"/>
        <v>808</v>
      </c>
      <c r="BN420" s="176">
        <f t="shared" si="1069"/>
        <v>808</v>
      </c>
      <c r="BO420" s="971">
        <f t="shared" si="1067"/>
        <v>808</v>
      </c>
      <c r="BP420" s="971">
        <f t="shared" si="1070"/>
        <v>808</v>
      </c>
      <c r="BQ420" s="971">
        <f t="shared" si="1070"/>
        <v>808</v>
      </c>
      <c r="BR420" s="971">
        <f t="shared" si="1070"/>
        <v>808</v>
      </c>
      <c r="BS420" s="229"/>
    </row>
    <row r="421" spans="1:71" s="224" customFormat="1" ht="15" hidden="1" outlineLevel="1">
      <c r="A421" s="75" t="s">
        <v>145</v>
      </c>
      <c r="B421" s="363"/>
      <c r="C421" s="1002">
        <v>26687</v>
      </c>
      <c r="D421" s="1002">
        <v>30084</v>
      </c>
      <c r="E421" s="1002">
        <v>47009</v>
      </c>
      <c r="F421" s="1002">
        <v>54426</v>
      </c>
      <c r="G421" s="1002">
        <v>44415</v>
      </c>
      <c r="H421" s="908">
        <v>40858</v>
      </c>
      <c r="I421" s="908">
        <v>41134</v>
      </c>
      <c r="J421" s="908">
        <v>37743</v>
      </c>
      <c r="K421" s="908">
        <v>34242</v>
      </c>
      <c r="L421" s="1002">
        <v>34242</v>
      </c>
      <c r="M421" s="908">
        <v>34262</v>
      </c>
      <c r="N421" s="908">
        <v>33293</v>
      </c>
      <c r="O421" s="908">
        <v>33729</v>
      </c>
      <c r="P421" s="908">
        <v>33459</v>
      </c>
      <c r="Q421" s="1002">
        <v>33459</v>
      </c>
      <c r="R421" s="908">
        <v>35515</v>
      </c>
      <c r="S421" s="908">
        <v>38346</v>
      </c>
      <c r="T421" s="908">
        <v>38772</v>
      </c>
      <c r="U421" s="908">
        <v>33350</v>
      </c>
      <c r="V421" s="1002">
        <v>33350</v>
      </c>
      <c r="W421" s="908">
        <v>34401</v>
      </c>
      <c r="X421" s="908">
        <v>32613</v>
      </c>
      <c r="Y421" s="908">
        <v>31998</v>
      </c>
      <c r="Z421" s="426">
        <f t="shared" si="1059"/>
        <v>31430</v>
      </c>
      <c r="AA421" s="1002">
        <v>31430</v>
      </c>
      <c r="AB421" s="908">
        <v>33377</v>
      </c>
      <c r="AC421" s="908">
        <v>31259</v>
      </c>
      <c r="AD421" s="908">
        <v>30421</v>
      </c>
      <c r="AE421" s="426">
        <f t="shared" si="1060"/>
        <v>30318</v>
      </c>
      <c r="AF421" s="1002">
        <v>30318</v>
      </c>
      <c r="AG421" s="908">
        <v>30163</v>
      </c>
      <c r="AH421" s="908">
        <v>31007</v>
      </c>
      <c r="AI421" s="908">
        <v>30733</v>
      </c>
      <c r="AJ421" s="426">
        <f t="shared" si="1061"/>
        <v>30085</v>
      </c>
      <c r="AK421" s="1002">
        <v>30085</v>
      </c>
      <c r="AL421" s="908">
        <v>23278</v>
      </c>
      <c r="AM421" s="908">
        <v>23509</v>
      </c>
      <c r="AN421" s="908">
        <v>23937</v>
      </c>
      <c r="AO421" s="426">
        <f t="shared" si="1062"/>
        <v>24464</v>
      </c>
      <c r="AP421" s="1002">
        <v>24464</v>
      </c>
      <c r="AQ421" s="908">
        <v>22868</v>
      </c>
      <c r="AR421" s="908">
        <v>22891</v>
      </c>
      <c r="AS421" s="908">
        <v>22613</v>
      </c>
      <c r="AT421" s="426">
        <f t="shared" si="1063"/>
        <v>22000</v>
      </c>
      <c r="AU421" s="1002">
        <v>22000</v>
      </c>
      <c r="AV421" s="908">
        <v>20672</v>
      </c>
      <c r="AW421" s="908">
        <v>18507</v>
      </c>
      <c r="AX421" s="908">
        <v>17466</v>
      </c>
      <c r="AY421" s="426">
        <f t="shared" si="1064"/>
        <v>19056</v>
      </c>
      <c r="AZ421" s="1002">
        <v>19056</v>
      </c>
      <c r="BA421" s="908">
        <v>18936</v>
      </c>
      <c r="BB421" s="908">
        <v>17436</v>
      </c>
      <c r="BC421" s="908">
        <v>16899</v>
      </c>
      <c r="BD421" s="426">
        <f t="shared" si="1065"/>
        <v>17819</v>
      </c>
      <c r="BE421" s="1002">
        <v>17819</v>
      </c>
      <c r="BF421" s="908">
        <v>16689</v>
      </c>
      <c r="BG421" s="908">
        <v>15685</v>
      </c>
      <c r="BH421" s="909">
        <v>17698</v>
      </c>
      <c r="BI421" s="176">
        <f t="shared" si="1068"/>
        <v>17698</v>
      </c>
      <c r="BJ421" s="971">
        <f t="shared" si="1066"/>
        <v>17698</v>
      </c>
      <c r="BK421" s="176">
        <f t="shared" si="1069"/>
        <v>17698</v>
      </c>
      <c r="BL421" s="176">
        <f t="shared" si="1069"/>
        <v>17698</v>
      </c>
      <c r="BM421" s="176">
        <f t="shared" si="1069"/>
        <v>17698</v>
      </c>
      <c r="BN421" s="176">
        <f t="shared" si="1069"/>
        <v>17698</v>
      </c>
      <c r="BO421" s="971">
        <f t="shared" si="1067"/>
        <v>17698</v>
      </c>
      <c r="BP421" s="971">
        <f t="shared" si="1070"/>
        <v>17698</v>
      </c>
      <c r="BQ421" s="971">
        <f t="shared" si="1070"/>
        <v>17698</v>
      </c>
      <c r="BR421" s="971">
        <f t="shared" si="1070"/>
        <v>17698</v>
      </c>
      <c r="BS421" s="229"/>
    </row>
    <row r="422" spans="1:71" s="224" customFormat="1" ht="15" hidden="1" outlineLevel="1">
      <c r="A422" s="75" t="s">
        <v>146</v>
      </c>
      <c r="B422" s="363"/>
      <c r="C422" s="1002">
        <v>114</v>
      </c>
      <c r="D422" s="1002">
        <v>135</v>
      </c>
      <c r="E422" s="1002">
        <v>168</v>
      </c>
      <c r="F422" s="1002">
        <v>174</v>
      </c>
      <c r="G422" s="1002">
        <v>463</v>
      </c>
      <c r="H422" s="908">
        <v>323</v>
      </c>
      <c r="I422" s="908">
        <v>328</v>
      </c>
      <c r="J422" s="908">
        <v>4001</v>
      </c>
      <c r="K422" s="908">
        <v>171</v>
      </c>
      <c r="L422" s="1002">
        <v>171</v>
      </c>
      <c r="M422" s="908">
        <v>179</v>
      </c>
      <c r="N422" s="908">
        <v>199</v>
      </c>
      <c r="O422" s="908">
        <v>248</v>
      </c>
      <c r="P422" s="908">
        <v>294</v>
      </c>
      <c r="Q422" s="1002">
        <v>294</v>
      </c>
      <c r="R422" s="908">
        <v>450</v>
      </c>
      <c r="S422" s="908">
        <v>622</v>
      </c>
      <c r="T422" s="908">
        <v>1094</v>
      </c>
      <c r="U422" s="908">
        <v>1450</v>
      </c>
      <c r="V422" s="1002">
        <v>1450</v>
      </c>
      <c r="W422" s="908">
        <v>1701</v>
      </c>
      <c r="X422" s="908">
        <v>2016</v>
      </c>
      <c r="Y422" s="908">
        <v>2358</v>
      </c>
      <c r="Z422" s="426">
        <f t="shared" si="1059"/>
        <v>3402</v>
      </c>
      <c r="AA422" s="1002">
        <v>3402</v>
      </c>
      <c r="AB422" s="908">
        <v>5073</v>
      </c>
      <c r="AC422" s="908">
        <v>5831</v>
      </c>
      <c r="AD422" s="908">
        <v>7009</v>
      </c>
      <c r="AE422" s="426">
        <f t="shared" si="1060"/>
        <v>7706</v>
      </c>
      <c r="AF422" s="1002">
        <v>7706</v>
      </c>
      <c r="AG422" s="908">
        <f>1238+7180</f>
        <v>8418</v>
      </c>
      <c r="AH422" s="908">
        <f>7622+1427</f>
        <v>9049</v>
      </c>
      <c r="AI422" s="908">
        <f>8284+1507</f>
        <v>9791</v>
      </c>
      <c r="AJ422" s="426">
        <f t="shared" si="1061"/>
        <v>11046</v>
      </c>
      <c r="AK422" s="1002">
        <f>9569+1477</f>
        <v>11046</v>
      </c>
      <c r="AL422" s="908">
        <f>10750+1843</f>
        <v>12593</v>
      </c>
      <c r="AM422" s="908">
        <f>10717+1771</f>
        <v>12488</v>
      </c>
      <c r="AN422" s="908">
        <f>10822+1904</f>
        <v>12726</v>
      </c>
      <c r="AO422" s="426">
        <f t="shared" si="1062"/>
        <v>12983</v>
      </c>
      <c r="AP422" s="1002">
        <f>10554+2429</f>
        <v>12983</v>
      </c>
      <c r="AQ422" s="908">
        <f>10847+2666</f>
        <v>13513</v>
      </c>
      <c r="AR422" s="908">
        <f>11332+3258</f>
        <v>14590</v>
      </c>
      <c r="AS422" s="908">
        <f>11388+3612</f>
        <v>15000</v>
      </c>
      <c r="AT422" s="426">
        <f t="shared" si="1063"/>
        <v>15628</v>
      </c>
      <c r="AU422" s="1002">
        <f>11786+3842</f>
        <v>15628</v>
      </c>
      <c r="AV422" s="908">
        <f>12312+3960</f>
        <v>16272</v>
      </c>
      <c r="AW422" s="908">
        <f>13053+4102</f>
        <v>17155</v>
      </c>
      <c r="AX422" s="908">
        <f>13459+4186</f>
        <v>17645</v>
      </c>
      <c r="AY422" s="426">
        <f t="shared" si="1064"/>
        <v>17566</v>
      </c>
      <c r="AZ422" s="1002">
        <f>13496+4070</f>
        <v>17566</v>
      </c>
      <c r="BA422" s="908">
        <f>13328+5241</f>
        <v>18569</v>
      </c>
      <c r="BB422" s="908">
        <f>13346+5491</f>
        <v>18837</v>
      </c>
      <c r="BC422" s="908">
        <f>12873+5241</f>
        <v>18114</v>
      </c>
      <c r="BD422" s="426">
        <f t="shared" si="1065"/>
        <v>17057</v>
      </c>
      <c r="BE422" s="1002">
        <f>12527+4530</f>
        <v>17057</v>
      </c>
      <c r="BF422" s="908">
        <f>12360+6677</f>
        <v>19037</v>
      </c>
      <c r="BG422" s="908">
        <f>11795+7102</f>
        <v>18897</v>
      </c>
      <c r="BH422" s="909">
        <f>11544+7647</f>
        <v>19191</v>
      </c>
      <c r="BI422" s="176">
        <f t="shared" si="1068"/>
        <v>19191</v>
      </c>
      <c r="BJ422" s="971">
        <f t="shared" si="1066"/>
        <v>19191</v>
      </c>
      <c r="BK422" s="176">
        <f t="shared" si="1069"/>
        <v>19191</v>
      </c>
      <c r="BL422" s="176">
        <f t="shared" si="1069"/>
        <v>19191</v>
      </c>
      <c r="BM422" s="176">
        <f t="shared" si="1069"/>
        <v>19191</v>
      </c>
      <c r="BN422" s="176">
        <f t="shared" si="1069"/>
        <v>19191</v>
      </c>
      <c r="BO422" s="971">
        <f t="shared" si="1067"/>
        <v>19191</v>
      </c>
      <c r="BP422" s="971">
        <f t="shared" si="1070"/>
        <v>19191</v>
      </c>
      <c r="BQ422" s="971">
        <f t="shared" si="1070"/>
        <v>19191</v>
      </c>
      <c r="BR422" s="971">
        <f t="shared" si="1070"/>
        <v>19191</v>
      </c>
      <c r="BS422" s="229"/>
    </row>
    <row r="423" spans="1:71" s="224" customFormat="1" ht="15" hidden="1" outlineLevel="1">
      <c r="A423" s="74" t="s">
        <v>147</v>
      </c>
      <c r="B423" s="365"/>
      <c r="C423" s="1004">
        <v>2323</v>
      </c>
      <c r="D423" s="1004">
        <v>2121</v>
      </c>
      <c r="E423" s="1004">
        <v>2249</v>
      </c>
      <c r="F423" s="1004">
        <v>2041</v>
      </c>
      <c r="G423" s="1004">
        <v>2543</v>
      </c>
      <c r="H423" s="911">
        <v>1994</v>
      </c>
      <c r="I423" s="911">
        <v>2252</v>
      </c>
      <c r="J423" s="911">
        <v>2666</v>
      </c>
      <c r="K423" s="911">
        <v>4658</v>
      </c>
      <c r="L423" s="1004">
        <v>4658</v>
      </c>
      <c r="M423" s="911">
        <v>4363</v>
      </c>
      <c r="N423" s="911">
        <v>3103</v>
      </c>
      <c r="O423" s="911">
        <v>3520</v>
      </c>
      <c r="P423" s="911">
        <v>4350</v>
      </c>
      <c r="Q423" s="1004">
        <v>4350</v>
      </c>
      <c r="R423" s="911">
        <v>3449</v>
      </c>
      <c r="S423" s="911">
        <v>3700</v>
      </c>
      <c r="T423" s="911">
        <v>5270</v>
      </c>
      <c r="U423" s="911">
        <v>4859</v>
      </c>
      <c r="V423" s="1004">
        <v>4859</v>
      </c>
      <c r="W423" s="911">
        <v>4205</v>
      </c>
      <c r="X423" s="911">
        <v>4264</v>
      </c>
      <c r="Y423" s="911">
        <v>4927</v>
      </c>
      <c r="Z423" s="609">
        <f t="shared" si="1059"/>
        <v>3491</v>
      </c>
      <c r="AA423" s="1004">
        <v>3491</v>
      </c>
      <c r="AB423" s="911">
        <v>4080</v>
      </c>
      <c r="AC423" s="911">
        <v>3847</v>
      </c>
      <c r="AD423" s="911">
        <v>3429</v>
      </c>
      <c r="AE423" s="609">
        <f t="shared" si="1060"/>
        <v>4337</v>
      </c>
      <c r="AF423" s="1004">
        <v>4337</v>
      </c>
      <c r="AG423" s="911">
        <v>3892</v>
      </c>
      <c r="AH423" s="911">
        <v>3019</v>
      </c>
      <c r="AI423" s="911">
        <v>4216</v>
      </c>
      <c r="AJ423" s="609">
        <f t="shared" si="1061"/>
        <v>4896</v>
      </c>
      <c r="AK423" s="1004">
        <v>4896</v>
      </c>
      <c r="AL423" s="911">
        <v>4148</v>
      </c>
      <c r="AM423" s="911">
        <v>5528</v>
      </c>
      <c r="AN423" s="911">
        <v>5563</v>
      </c>
      <c r="AO423" s="609">
        <f t="shared" si="1062"/>
        <v>5141</v>
      </c>
      <c r="AP423" s="1004">
        <v>5141</v>
      </c>
      <c r="AQ423" s="911">
        <v>4990</v>
      </c>
      <c r="AR423" s="911">
        <v>5469</v>
      </c>
      <c r="AS423" s="911">
        <v>6208</v>
      </c>
      <c r="AT423" s="609">
        <f t="shared" si="1063"/>
        <v>5051</v>
      </c>
      <c r="AU423" s="1004">
        <v>5051</v>
      </c>
      <c r="AV423" s="911">
        <v>4275</v>
      </c>
      <c r="AW423" s="911">
        <v>5173</v>
      </c>
      <c r="AX423" s="911">
        <v>4710</v>
      </c>
      <c r="AY423" s="609">
        <f t="shared" si="1064"/>
        <v>3943</v>
      </c>
      <c r="AZ423" s="1004">
        <v>3943</v>
      </c>
      <c r="BA423" s="911">
        <v>3809</v>
      </c>
      <c r="BB423" s="911">
        <v>4720</v>
      </c>
      <c r="BC423" s="908">
        <v>5502</v>
      </c>
      <c r="BD423" s="426">
        <f t="shared" si="1065"/>
        <v>4306</v>
      </c>
      <c r="BE423" s="1002">
        <v>4306</v>
      </c>
      <c r="BF423" s="911">
        <v>5098</v>
      </c>
      <c r="BG423" s="911">
        <v>6060</v>
      </c>
      <c r="BH423" s="909">
        <v>5612</v>
      </c>
      <c r="BI423" s="177">
        <f ca="1">BH423+(BI409-BH409)</f>
        <v>4935.2909240170338</v>
      </c>
      <c r="BJ423" s="973">
        <f t="shared" ca="1" si="1066"/>
        <v>4935.2909240170338</v>
      </c>
      <c r="BK423" s="177">
        <f ca="1">BJ423+(BK409-BJ409)</f>
        <v>8421.0637082988105</v>
      </c>
      <c r="BL423" s="177">
        <f ca="1">BK423+(BL409-BK409)</f>
        <v>14509.49402259306</v>
      </c>
      <c r="BM423" s="177">
        <f ca="1">BL423+(BM409-BL409)</f>
        <v>7585.6204869495832</v>
      </c>
      <c r="BN423" s="177">
        <f ca="1">BM423+(BN409-BM409)</f>
        <v>6684.1543728819443</v>
      </c>
      <c r="BO423" s="973">
        <f t="shared" ca="1" si="1067"/>
        <v>6684.1543728819443</v>
      </c>
      <c r="BP423" s="973">
        <f ca="1">BO423+(BP409-BO409)</f>
        <v>9376.9822297411283</v>
      </c>
      <c r="BQ423" s="973">
        <f ca="1">BP423+(BQ409-BP409)</f>
        <v>12090.238955105651</v>
      </c>
      <c r="BR423" s="973">
        <f ca="1">BQ423+(BR409-BQ409)</f>
        <v>14080.960035399738</v>
      </c>
      <c r="BS423" s="229"/>
    </row>
    <row r="424" spans="1:71" s="224" customFormat="1" ht="15" collapsed="1">
      <c r="A424" s="424" t="s">
        <v>148</v>
      </c>
      <c r="B424" s="363"/>
      <c r="C424" s="970">
        <f t="shared" si="1071" ref="C424:AN424">+SUM(C418:C423)</f>
        <v>73192</v>
      </c>
      <c r="D424" s="970">
        <f t="shared" si="1071"/>
        <v>88230</v>
      </c>
      <c r="E424" s="970">
        <f t="shared" si="1071"/>
        <v>103462</v>
      </c>
      <c r="F424" s="970">
        <f t="shared" si="1071"/>
        <v>118219</v>
      </c>
      <c r="G424" s="970">
        <f t="shared" si="1071"/>
        <v>108459</v>
      </c>
      <c r="H424" s="229">
        <f t="shared" si="1071"/>
        <v>110493</v>
      </c>
      <c r="I424" s="229">
        <f t="shared" si="1071"/>
        <v>114734</v>
      </c>
      <c r="J424" s="229">
        <f t="shared" si="1071"/>
        <v>114691</v>
      </c>
      <c r="K424" s="229">
        <f t="shared" si="1071"/>
        <v>107341</v>
      </c>
      <c r="L424" s="970">
        <f t="shared" si="1071"/>
        <v>107341</v>
      </c>
      <c r="M424" s="229">
        <f t="shared" si="1071"/>
        <v>108711</v>
      </c>
      <c r="N424" s="229">
        <f t="shared" si="1071"/>
        <v>103280</v>
      </c>
      <c r="O424" s="229">
        <f t="shared" si="1071"/>
        <v>104900</v>
      </c>
      <c r="P424" s="229">
        <f t="shared" si="1071"/>
        <v>105897</v>
      </c>
      <c r="Q424" s="970">
        <f t="shared" si="1071"/>
        <v>105897</v>
      </c>
      <c r="R424" s="229">
        <f t="shared" si="1071"/>
        <v>114320</v>
      </c>
      <c r="S424" s="229">
        <f t="shared" si="1071"/>
        <v>125983</v>
      </c>
      <c r="T424" s="229">
        <f t="shared" si="1071"/>
        <v>128935</v>
      </c>
      <c r="U424" s="229">
        <f t="shared" si="1071"/>
        <v>116361</v>
      </c>
      <c r="V424" s="970">
        <f t="shared" si="1071"/>
        <v>116361</v>
      </c>
      <c r="W424" s="229">
        <f t="shared" si="1071"/>
        <v>120503</v>
      </c>
      <c r="X424" s="229">
        <f t="shared" si="1071"/>
        <v>121896</v>
      </c>
      <c r="Y424" s="229">
        <f t="shared" si="1071"/>
        <v>122489</v>
      </c>
      <c r="Z424" s="229">
        <f t="shared" si="1071"/>
        <v>123659</v>
      </c>
      <c r="AA424" s="970">
        <f t="shared" si="1071"/>
        <v>123659</v>
      </c>
      <c r="AB424" s="229">
        <f t="shared" si="1071"/>
        <v>132671</v>
      </c>
      <c r="AC424" s="229">
        <f t="shared" si="1071"/>
        <v>127921</v>
      </c>
      <c r="AD424" s="229">
        <f t="shared" si="1071"/>
        <v>124214</v>
      </c>
      <c r="AE424" s="229">
        <f t="shared" si="1071"/>
        <v>126243</v>
      </c>
      <c r="AF424" s="970">
        <f t="shared" si="1071"/>
        <v>126243</v>
      </c>
      <c r="AG424" s="229">
        <f t="shared" si="1071"/>
        <v>131438</v>
      </c>
      <c r="AH424" s="229">
        <f t="shared" si="1071"/>
        <v>136597</v>
      </c>
      <c r="AI424" s="229">
        <f t="shared" si="1071"/>
        <v>139510</v>
      </c>
      <c r="AJ424" s="229">
        <f t="shared" si="1071"/>
        <v>138091</v>
      </c>
      <c r="AK424" s="970">
        <f t="shared" si="1071"/>
        <v>138091</v>
      </c>
      <c r="AL424" s="229">
        <f t="shared" si="1071"/>
        <v>136967</v>
      </c>
      <c r="AM424" s="229">
        <f t="shared" si="1071"/>
        <v>142233</v>
      </c>
      <c r="AN424" s="229">
        <f t="shared" si="1071"/>
        <v>146129</v>
      </c>
      <c r="AO424" s="229">
        <f t="shared" si="1072" ref="AO424:AP424">+SUM(AO418:AO423)</f>
        <v>149753</v>
      </c>
      <c r="AP424" s="970">
        <f t="shared" si="1072"/>
        <v>149753</v>
      </c>
      <c r="AQ424" s="229">
        <f t="shared" si="1073" ref="AQ424">+SUM(AQ418:AQ423)</f>
        <v>143289</v>
      </c>
      <c r="AR424" s="229">
        <f t="shared" si="1074" ref="AR424:AU424">+SUM(AR418:AR423)</f>
        <v>146709</v>
      </c>
      <c r="AS424" s="229">
        <f t="shared" si="1074"/>
        <v>146004</v>
      </c>
      <c r="AT424" s="229">
        <f t="shared" si="1074"/>
        <v>142978</v>
      </c>
      <c r="AU424" s="970">
        <f t="shared" si="1074"/>
        <v>142978</v>
      </c>
      <c r="AV424" s="229">
        <f t="shared" si="1075" ref="AV424:AZ424">+SUM(AV418:AV423)</f>
        <v>132599</v>
      </c>
      <c r="AW424" s="229">
        <f t="shared" si="1075"/>
        <v>121415</v>
      </c>
      <c r="AX424" s="229">
        <f t="shared" si="1075"/>
        <v>114528</v>
      </c>
      <c r="AY424" s="229">
        <f t="shared" si="1075"/>
        <v>117397</v>
      </c>
      <c r="AZ424" s="970">
        <f t="shared" si="1075"/>
        <v>117397</v>
      </c>
      <c r="BA424" s="229">
        <f t="shared" si="1076" ref="BA424:BI424">+SUM(BA418:BA423)</f>
        <v>120500</v>
      </c>
      <c r="BB424" s="229">
        <f t="shared" si="1076"/>
        <v>116463</v>
      </c>
      <c r="BC424" s="316">
        <f t="shared" si="1076"/>
        <v>111306</v>
      </c>
      <c r="BD424" s="316">
        <f t="shared" si="1076"/>
        <v>113560</v>
      </c>
      <c r="BE424" s="1023">
        <f t="shared" si="1076"/>
        <v>113560</v>
      </c>
      <c r="BF424" s="229">
        <f>+SUM(BF418:BF423)</f>
        <v>111716</v>
      </c>
      <c r="BG424" s="229">
        <f>+SUM(BG418:BG423)</f>
        <v>107629</v>
      </c>
      <c r="BH424" s="762">
        <f>+SUM(BH418:BH423)</f>
        <v>115601</v>
      </c>
      <c r="BI424" s="176">
        <f t="shared" ca="1" si="1076"/>
        <v>116995.54092401706</v>
      </c>
      <c r="BJ424" s="971">
        <f t="shared" ca="1" si="1066"/>
        <v>116995.54092401706</v>
      </c>
      <c r="BK424" s="176">
        <f ca="1">+SUM(BK418:BK423)</f>
        <v>118032.20370829881</v>
      </c>
      <c r="BL424" s="176">
        <f ca="1">+SUM(BL418:BL423)</f>
        <v>119054.95402259305</v>
      </c>
      <c r="BM424" s="176">
        <f ca="1">+SUM(BM418:BM423)</f>
        <v>120137.33048694959</v>
      </c>
      <c r="BN424" s="176">
        <f ca="1">+SUM(BN418:BN423)</f>
        <v>121357.51987288195</v>
      </c>
      <c r="BO424" s="971">
        <f t="shared" ca="1" si="1067"/>
        <v>121357.51987288195</v>
      </c>
      <c r="BP424" s="971">
        <f ca="1">+SUM(BP418:BP423)</f>
        <v>125838.53608474115</v>
      </c>
      <c r="BQ424" s="971">
        <f ca="1">+SUM(BQ418:BQ423)</f>
        <v>130393.29078365568</v>
      </c>
      <c r="BR424" s="971">
        <f ca="1">+SUM(BR418:BR423)</f>
        <v>134281.12393898526</v>
      </c>
      <c r="BS424" s="229"/>
    </row>
    <row r="425" spans="1:71" s="224" customFormat="1" ht="15">
      <c r="A425" s="424" t="s">
        <v>149</v>
      </c>
      <c r="B425" s="363"/>
      <c r="C425" s="1002">
        <v>764</v>
      </c>
      <c r="D425" s="1002">
        <v>661</v>
      </c>
      <c r="E425" s="1002">
        <v>680</v>
      </c>
      <c r="F425" s="1002">
        <v>976</v>
      </c>
      <c r="G425" s="1002">
        <v>1165</v>
      </c>
      <c r="H425" s="908">
        <v>732</v>
      </c>
      <c r="I425" s="908">
        <v>884</v>
      </c>
      <c r="J425" s="908">
        <v>870</v>
      </c>
      <c r="K425" s="908">
        <v>842</v>
      </c>
      <c r="L425" s="1002">
        <v>842</v>
      </c>
      <c r="M425" s="908">
        <v>700</v>
      </c>
      <c r="N425" s="908">
        <v>839</v>
      </c>
      <c r="O425" s="908">
        <v>762</v>
      </c>
      <c r="P425" s="908">
        <v>705</v>
      </c>
      <c r="Q425" s="1002">
        <v>705</v>
      </c>
      <c r="R425" s="908">
        <v>723</v>
      </c>
      <c r="S425" s="908">
        <v>758</v>
      </c>
      <c r="T425" s="908">
        <v>689</v>
      </c>
      <c r="U425" s="908">
        <v>669</v>
      </c>
      <c r="V425" s="1002">
        <v>669</v>
      </c>
      <c r="W425" s="908">
        <v>618</v>
      </c>
      <c r="X425" s="908">
        <v>871</v>
      </c>
      <c r="Y425" s="908">
        <v>937</v>
      </c>
      <c r="Z425" s="426">
        <f>AA425</f>
        <v>827</v>
      </c>
      <c r="AA425" s="1002">
        <v>827</v>
      </c>
      <c r="AB425" s="908">
        <v>906</v>
      </c>
      <c r="AC425" s="908">
        <v>892</v>
      </c>
      <c r="AD425" s="908">
        <v>784</v>
      </c>
      <c r="AE425" s="426">
        <f>AF425</f>
        <v>851</v>
      </c>
      <c r="AF425" s="1002">
        <v>851</v>
      </c>
      <c r="AG425" s="908">
        <v>858</v>
      </c>
      <c r="AH425" s="908">
        <v>883</v>
      </c>
      <c r="AI425" s="908">
        <v>908</v>
      </c>
      <c r="AJ425" s="426">
        <f>AK425</f>
        <v>828</v>
      </c>
      <c r="AK425" s="1002">
        <v>828</v>
      </c>
      <c r="AL425" s="908">
        <v>813</v>
      </c>
      <c r="AM425" s="908">
        <v>894</v>
      </c>
      <c r="AN425" s="908">
        <v>824</v>
      </c>
      <c r="AO425" s="426">
        <f>AP425</f>
        <v>796</v>
      </c>
      <c r="AP425" s="1002">
        <v>796</v>
      </c>
      <c r="AQ425" s="908">
        <v>777</v>
      </c>
      <c r="AR425" s="908">
        <v>788</v>
      </c>
      <c r="AS425" s="908">
        <v>787</v>
      </c>
      <c r="AT425" s="426">
        <f>AU425</f>
        <v>693</v>
      </c>
      <c r="AU425" s="1002">
        <v>693</v>
      </c>
      <c r="AV425" s="908">
        <v>730</v>
      </c>
      <c r="AW425" s="908">
        <v>687</v>
      </c>
      <c r="AX425" s="908">
        <v>655</v>
      </c>
      <c r="AY425" s="426">
        <f>AZ425</f>
        <v>672</v>
      </c>
      <c r="AZ425" s="1002">
        <v>672</v>
      </c>
      <c r="BA425" s="908">
        <v>789</v>
      </c>
      <c r="BB425" s="908">
        <v>755</v>
      </c>
      <c r="BC425" s="908">
        <v>712</v>
      </c>
      <c r="BD425" s="426">
        <f>BE425</f>
        <v>848</v>
      </c>
      <c r="BE425" s="1002">
        <v>848</v>
      </c>
      <c r="BF425" s="908">
        <v>1038</v>
      </c>
      <c r="BG425" s="908">
        <v>880</v>
      </c>
      <c r="BH425" s="909">
        <v>814</v>
      </c>
      <c r="BI425" s="176">
        <f>BH425</f>
        <v>814</v>
      </c>
      <c r="BJ425" s="971">
        <f t="shared" si="1066"/>
        <v>814</v>
      </c>
      <c r="BK425" s="176">
        <f t="shared" si="1077" ref="BK425:BN426">BJ425</f>
        <v>814</v>
      </c>
      <c r="BL425" s="176">
        <f t="shared" si="1077"/>
        <v>814</v>
      </c>
      <c r="BM425" s="176">
        <f t="shared" si="1077"/>
        <v>814</v>
      </c>
      <c r="BN425" s="176">
        <f t="shared" si="1077"/>
        <v>814</v>
      </c>
      <c r="BO425" s="971">
        <f t="shared" si="1067"/>
        <v>814</v>
      </c>
      <c r="BP425" s="971">
        <f t="shared" si="1078" ref="BP425:BR426">BO425</f>
        <v>814</v>
      </c>
      <c r="BQ425" s="971">
        <f t="shared" si="1078"/>
        <v>814</v>
      </c>
      <c r="BR425" s="971">
        <f t="shared" si="1078"/>
        <v>814</v>
      </c>
      <c r="BS425" s="229"/>
    </row>
    <row r="426" spans="1:71" s="224" customFormat="1" ht="15">
      <c r="A426" s="424" t="s">
        <v>150</v>
      </c>
      <c r="B426" s="363"/>
      <c r="C426" s="1002">
        <v>649</v>
      </c>
      <c r="D426" s="1002">
        <v>738</v>
      </c>
      <c r="E426" s="1002">
        <v>802</v>
      </c>
      <c r="F426" s="1002">
        <v>842</v>
      </c>
      <c r="G426" s="1002">
        <v>798</v>
      </c>
      <c r="H426" s="908">
        <v>774</v>
      </c>
      <c r="I426" s="908">
        <v>826</v>
      </c>
      <c r="J426" s="908">
        <v>770</v>
      </c>
      <c r="K426" s="908">
        <v>762</v>
      </c>
      <c r="L426" s="1002">
        <v>762</v>
      </c>
      <c r="M426" s="908">
        <v>728</v>
      </c>
      <c r="N426" s="908">
        <v>759</v>
      </c>
      <c r="O426" s="908">
        <v>733</v>
      </c>
      <c r="P426" s="908">
        <v>768</v>
      </c>
      <c r="Q426" s="1002">
        <v>768</v>
      </c>
      <c r="R426" s="908">
        <v>750</v>
      </c>
      <c r="S426" s="908">
        <v>806</v>
      </c>
      <c r="T426" s="908">
        <v>776</v>
      </c>
      <c r="U426" s="908">
        <v>754</v>
      </c>
      <c r="V426" s="1002">
        <v>754</v>
      </c>
      <c r="W426" s="908">
        <v>723</v>
      </c>
      <c r="X426" s="908">
        <v>760</v>
      </c>
      <c r="Y426" s="908">
        <v>730</v>
      </c>
      <c r="Z426" s="426">
        <f>AA426</f>
        <v>769</v>
      </c>
      <c r="AA426" s="1002">
        <v>769</v>
      </c>
      <c r="AB426" s="908">
        <v>745</v>
      </c>
      <c r="AC426" s="908">
        <v>769</v>
      </c>
      <c r="AD426" s="908">
        <v>735</v>
      </c>
      <c r="AE426" s="426">
        <f>AF426</f>
        <v>773</v>
      </c>
      <c r="AF426" s="1002">
        <v>773</v>
      </c>
      <c r="AG426" s="908">
        <v>728</v>
      </c>
      <c r="AH426" s="908">
        <v>785</v>
      </c>
      <c r="AI426" s="908">
        <v>734</v>
      </c>
      <c r="AJ426" s="426">
        <f>AK426</f>
        <v>772</v>
      </c>
      <c r="AK426" s="1002">
        <v>772</v>
      </c>
      <c r="AL426" s="908">
        <v>734</v>
      </c>
      <c r="AM426" s="908">
        <v>782</v>
      </c>
      <c r="AN426" s="908">
        <v>737</v>
      </c>
      <c r="AO426" s="426">
        <f>AP426</f>
        <v>780</v>
      </c>
      <c r="AP426" s="1002">
        <v>780</v>
      </c>
      <c r="AQ426" s="908">
        <v>706</v>
      </c>
      <c r="AR426" s="908">
        <v>761</v>
      </c>
      <c r="AS426" s="908">
        <v>701</v>
      </c>
      <c r="AT426" s="426">
        <f>AU426</f>
        <v>737</v>
      </c>
      <c r="AU426" s="1002">
        <v>737</v>
      </c>
      <c r="AV426" s="908">
        <v>683</v>
      </c>
      <c r="AW426" s="908">
        <v>714</v>
      </c>
      <c r="AX426" s="908">
        <v>684</v>
      </c>
      <c r="AY426" s="426">
        <f>AZ426</f>
        <v>745</v>
      </c>
      <c r="AZ426" s="1002">
        <v>745</v>
      </c>
      <c r="BA426" s="908">
        <v>701</v>
      </c>
      <c r="BB426" s="908">
        <v>719</v>
      </c>
      <c r="BC426" s="908">
        <v>687</v>
      </c>
      <c r="BD426" s="426">
        <f>BE426</f>
        <v>731</v>
      </c>
      <c r="BE426" s="1002">
        <v>731</v>
      </c>
      <c r="BF426" s="908">
        <v>693</v>
      </c>
      <c r="BG426" s="908">
        <v>726</v>
      </c>
      <c r="BH426" s="909">
        <v>696</v>
      </c>
      <c r="BI426" s="176">
        <f>BH426</f>
        <v>696</v>
      </c>
      <c r="BJ426" s="971">
        <f t="shared" si="1066"/>
        <v>696</v>
      </c>
      <c r="BK426" s="176">
        <f t="shared" si="1077"/>
        <v>696</v>
      </c>
      <c r="BL426" s="176">
        <f t="shared" si="1077"/>
        <v>696</v>
      </c>
      <c r="BM426" s="176">
        <f t="shared" si="1077"/>
        <v>696</v>
      </c>
      <c r="BN426" s="176">
        <f t="shared" si="1077"/>
        <v>696</v>
      </c>
      <c r="BO426" s="971">
        <f t="shared" si="1067"/>
        <v>696</v>
      </c>
      <c r="BP426" s="971">
        <f t="shared" si="1078"/>
        <v>696</v>
      </c>
      <c r="BQ426" s="971">
        <f t="shared" si="1078"/>
        <v>696</v>
      </c>
      <c r="BR426" s="971">
        <f t="shared" si="1078"/>
        <v>696</v>
      </c>
      <c r="BS426" s="229"/>
    </row>
    <row r="427" spans="1:71" s="224" customFormat="1" ht="15">
      <c r="A427" s="424" t="s">
        <v>151</v>
      </c>
      <c r="B427" s="363"/>
      <c r="C427" s="1002">
        <v>8533</v>
      </c>
      <c r="D427" s="1002">
        <v>9734</v>
      </c>
      <c r="E427" s="1002">
        <v>9789</v>
      </c>
      <c r="F427" s="1002">
        <v>9658</v>
      </c>
      <c r="G427" s="1002">
        <v>8798</v>
      </c>
      <c r="H427" s="908">
        <v>8965</v>
      </c>
      <c r="I427" s="908">
        <v>9117</v>
      </c>
      <c r="J427" s="908">
        <v>8713</v>
      </c>
      <c r="K427" s="908">
        <v>8273</v>
      </c>
      <c r="L427" s="1002">
        <v>8273</v>
      </c>
      <c r="M427" s="908">
        <v>8319</v>
      </c>
      <c r="N427" s="908">
        <v>8278</v>
      </c>
      <c r="O427" s="908">
        <v>8451</v>
      </c>
      <c r="P427" s="908">
        <v>8511</v>
      </c>
      <c r="Q427" s="1002">
        <v>8511</v>
      </c>
      <c r="R427" s="908">
        <v>8929</v>
      </c>
      <c r="S427" s="908">
        <v>9552</v>
      </c>
      <c r="T427" s="908">
        <v>9759</v>
      </c>
      <c r="U427" s="908">
        <v>8993</v>
      </c>
      <c r="V427" s="1002">
        <v>8993</v>
      </c>
      <c r="W427" s="908">
        <v>9255</v>
      </c>
      <c r="X427" s="908">
        <v>9340</v>
      </c>
      <c r="Y427" s="908">
        <v>9413</v>
      </c>
      <c r="Z427" s="426">
        <f>AA427</f>
        <v>9505</v>
      </c>
      <c r="AA427" s="1002">
        <v>9505</v>
      </c>
      <c r="AB427" s="908">
        <v>9933</v>
      </c>
      <c r="AC427" s="908">
        <v>9740</v>
      </c>
      <c r="AD427" s="908">
        <v>9622</v>
      </c>
      <c r="AE427" s="426">
        <f>AF427</f>
        <v>9875</v>
      </c>
      <c r="AF427" s="1002">
        <v>9875</v>
      </c>
      <c r="AG427" s="908">
        <v>9892</v>
      </c>
      <c r="AH427" s="908">
        <v>10128</v>
      </c>
      <c r="AI427" s="908">
        <v>10148</v>
      </c>
      <c r="AJ427" s="426">
        <f>AK427</f>
        <v>10128</v>
      </c>
      <c r="AK427" s="1002">
        <v>10128</v>
      </c>
      <c r="AL427" s="908">
        <v>10164</v>
      </c>
      <c r="AM427" s="908">
        <v>10222</v>
      </c>
      <c r="AN427" s="908">
        <v>10319</v>
      </c>
      <c r="AO427" s="426">
        <f>AP427</f>
        <v>10441</v>
      </c>
      <c r="AP427" s="1002">
        <v>10441</v>
      </c>
      <c r="AQ427" s="908">
        <v>9835</v>
      </c>
      <c r="AR427" s="908">
        <v>9810</v>
      </c>
      <c r="AS427" s="908">
        <v>9714</v>
      </c>
      <c r="AT427" s="426">
        <f>AU427</f>
        <v>9525</v>
      </c>
      <c r="AU427" s="1002">
        <v>9525</v>
      </c>
      <c r="AV427" s="908">
        <v>9082</v>
      </c>
      <c r="AW427" s="908">
        <v>8458</v>
      </c>
      <c r="AX427" s="908">
        <v>8155</v>
      </c>
      <c r="AY427" s="426">
        <f>AZ427</f>
        <v>8593</v>
      </c>
      <c r="AZ427" s="1002">
        <v>8593</v>
      </c>
      <c r="BA427" s="908">
        <v>9267</v>
      </c>
      <c r="BB427" s="908">
        <v>8860</v>
      </c>
      <c r="BC427" s="908">
        <v>8771</v>
      </c>
      <c r="BD427" s="426">
        <f>BE427</f>
        <v>9132</v>
      </c>
      <c r="BE427" s="1002">
        <v>9132</v>
      </c>
      <c r="BF427" s="908">
        <v>8819</v>
      </c>
      <c r="BG427" s="908">
        <v>8550</v>
      </c>
      <c r="BH427" s="909">
        <v>9232</v>
      </c>
      <c r="BI427" s="176">
        <f>BH427-BI369</f>
        <v>9115.3803430000007</v>
      </c>
      <c r="BJ427" s="971">
        <f t="shared" si="1066"/>
        <v>9115.3803430000007</v>
      </c>
      <c r="BK427" s="176">
        <f>BJ427-BK369</f>
        <v>9047.0963730000003</v>
      </c>
      <c r="BL427" s="176">
        <f>BK427-BL369</f>
        <v>8996.6650310000005</v>
      </c>
      <c r="BM427" s="176">
        <f>BL427-BM369</f>
        <v>8899.7283480000006</v>
      </c>
      <c r="BN427" s="176">
        <f>BM427-BN369</f>
        <v>8800.8860679999998</v>
      </c>
      <c r="BO427" s="971">
        <f t="shared" si="1067"/>
        <v>8800.8860679999998</v>
      </c>
      <c r="BP427" s="971">
        <f>BO427-BP369</f>
        <v>8413.1170689999999</v>
      </c>
      <c r="BQ427" s="971">
        <f>BP427-BQ369</f>
        <v>8019.8101900000001</v>
      </c>
      <c r="BR427" s="971">
        <f>BQ427-BR369</f>
        <v>7620.7812469999999</v>
      </c>
      <c r="BS427" s="229"/>
    </row>
    <row r="428" spans="1:71" s="224" customFormat="1" ht="15">
      <c r="A428" s="424" t="s">
        <v>152</v>
      </c>
      <c r="B428" s="363"/>
      <c r="C428" s="1002">
        <v>593</v>
      </c>
      <c r="D428" s="1002">
        <v>620</v>
      </c>
      <c r="E428" s="1002">
        <v>617</v>
      </c>
      <c r="F428" s="1002">
        <v>564</v>
      </c>
      <c r="G428" s="1002">
        <v>481</v>
      </c>
      <c r="H428" s="908">
        <v>481</v>
      </c>
      <c r="I428" s="908">
        <v>482</v>
      </c>
      <c r="J428" s="908">
        <v>449</v>
      </c>
      <c r="K428" s="908">
        <v>429</v>
      </c>
      <c r="L428" s="1002">
        <v>429</v>
      </c>
      <c r="M428" s="908">
        <v>428</v>
      </c>
      <c r="N428" s="908">
        <v>422</v>
      </c>
      <c r="O428" s="908">
        <v>430</v>
      </c>
      <c r="P428" s="908">
        <v>427</v>
      </c>
      <c r="Q428" s="1002">
        <v>427</v>
      </c>
      <c r="R428" s="908">
        <v>443</v>
      </c>
      <c r="S428" s="908">
        <v>467</v>
      </c>
      <c r="T428" s="908">
        <v>476</v>
      </c>
      <c r="U428" s="908">
        <v>433</v>
      </c>
      <c r="V428" s="1002">
        <v>433</v>
      </c>
      <c r="W428" s="908">
        <v>444</v>
      </c>
      <c r="X428" s="908">
        <v>442</v>
      </c>
      <c r="Y428" s="908">
        <v>439</v>
      </c>
      <c r="Z428" s="426">
        <f>AA428</f>
        <v>434</v>
      </c>
      <c r="AA428" s="1002">
        <v>434</v>
      </c>
      <c r="AB428" s="908">
        <v>448</v>
      </c>
      <c r="AC428" s="908">
        <v>448</v>
      </c>
      <c r="AD428" s="908">
        <v>435</v>
      </c>
      <c r="AE428" s="426">
        <f>AF428</f>
        <v>443</v>
      </c>
      <c r="AF428" s="1002">
        <v>443</v>
      </c>
      <c r="AG428" s="908">
        <v>559</v>
      </c>
      <c r="AH428" s="908">
        <v>562</v>
      </c>
      <c r="AI428" s="908">
        <v>562</v>
      </c>
      <c r="AJ428" s="426">
        <f>AK428</f>
        <v>581</v>
      </c>
      <c r="AK428" s="1002">
        <v>581</v>
      </c>
      <c r="AL428" s="908">
        <v>586</v>
      </c>
      <c r="AM428" s="908">
        <v>584</v>
      </c>
      <c r="AN428" s="908">
        <v>584</v>
      </c>
      <c r="AO428" s="426">
        <f>AP428</f>
        <v>601</v>
      </c>
      <c r="AP428" s="1002">
        <v>601</v>
      </c>
      <c r="AQ428" s="908">
        <v>578</v>
      </c>
      <c r="AR428" s="908">
        <v>563</v>
      </c>
      <c r="AS428" s="908">
        <v>542</v>
      </c>
      <c r="AT428" s="426">
        <f>AU428</f>
        <v>538</v>
      </c>
      <c r="AU428" s="1002">
        <v>538</v>
      </c>
      <c r="AV428" s="908">
        <v>538</v>
      </c>
      <c r="AW428" s="908">
        <v>512</v>
      </c>
      <c r="AX428" s="908">
        <v>488</v>
      </c>
      <c r="AY428" s="426">
        <f>AZ428</f>
        <v>530</v>
      </c>
      <c r="AZ428" s="1002">
        <v>530</v>
      </c>
      <c r="BA428" s="908">
        <v>528</v>
      </c>
      <c r="BB428" s="908">
        <v>500</v>
      </c>
      <c r="BC428" s="908">
        <v>445</v>
      </c>
      <c r="BD428" s="426">
        <f>BE428</f>
        <v>445</v>
      </c>
      <c r="BE428" s="1002">
        <v>445</v>
      </c>
      <c r="BF428" s="908">
        <v>418</v>
      </c>
      <c r="BG428" s="908">
        <v>398</v>
      </c>
      <c r="BH428" s="909">
        <v>421</v>
      </c>
      <c r="BI428" s="176">
        <f>BH428</f>
        <v>421</v>
      </c>
      <c r="BJ428" s="971">
        <f t="shared" si="1066"/>
        <v>421</v>
      </c>
      <c r="BK428" s="176">
        <f t="shared" si="1079" ref="BK428:BN429">BJ428</f>
        <v>421</v>
      </c>
      <c r="BL428" s="176">
        <f t="shared" si="1079"/>
        <v>421</v>
      </c>
      <c r="BM428" s="176">
        <f t="shared" si="1079"/>
        <v>421</v>
      </c>
      <c r="BN428" s="176">
        <f t="shared" si="1079"/>
        <v>421</v>
      </c>
      <c r="BO428" s="971">
        <f t="shared" si="1067"/>
        <v>421</v>
      </c>
      <c r="BP428" s="971">
        <f t="shared" si="1080" ref="BP428:BR429">BO428</f>
        <v>421</v>
      </c>
      <c r="BQ428" s="971">
        <f t="shared" si="1080"/>
        <v>421</v>
      </c>
      <c r="BR428" s="971">
        <f t="shared" si="1080"/>
        <v>421</v>
      </c>
      <c r="BS428" s="229"/>
    </row>
    <row r="429" spans="1:71" s="224" customFormat="1" ht="15">
      <c r="A429" s="607" t="s">
        <v>153</v>
      </c>
      <c r="B429" s="365"/>
      <c r="C429" s="1004">
        <v>375</v>
      </c>
      <c r="D429" s="1004">
        <v>1056</v>
      </c>
      <c r="E429" s="1004">
        <v>887</v>
      </c>
      <c r="F429" s="1004">
        <v>835</v>
      </c>
      <c r="G429" s="1004">
        <v>1606</v>
      </c>
      <c r="H429" s="911">
        <v>1847</v>
      </c>
      <c r="I429" s="911">
        <v>1828</v>
      </c>
      <c r="J429" s="911">
        <v>1760</v>
      </c>
      <c r="K429" s="911">
        <v>2120</v>
      </c>
      <c r="L429" s="1004">
        <v>2120</v>
      </c>
      <c r="M429" s="911">
        <v>2515</v>
      </c>
      <c r="N429" s="911">
        <v>2003</v>
      </c>
      <c r="O429" s="911">
        <v>2179</v>
      </c>
      <c r="P429" s="911">
        <v>1948</v>
      </c>
      <c r="Q429" s="1004">
        <v>1948</v>
      </c>
      <c r="R429" s="911">
        <v>2601</v>
      </c>
      <c r="S429" s="911">
        <v>3721</v>
      </c>
      <c r="T429" s="911">
        <v>3466</v>
      </c>
      <c r="U429" s="911">
        <v>2609</v>
      </c>
      <c r="V429" s="1004">
        <v>2609</v>
      </c>
      <c r="W429" s="911">
        <v>2107</v>
      </c>
      <c r="X429" s="911">
        <v>2085</v>
      </c>
      <c r="Y429" s="911">
        <v>2075</v>
      </c>
      <c r="Z429" s="609">
        <f>AA429</f>
        <v>2023</v>
      </c>
      <c r="AA429" s="1004">
        <v>2023</v>
      </c>
      <c r="AB429" s="911">
        <v>2653</v>
      </c>
      <c r="AC429" s="911">
        <v>2216</v>
      </c>
      <c r="AD429" s="911">
        <v>2151</v>
      </c>
      <c r="AE429" s="609">
        <f>AF429</f>
        <v>2221</v>
      </c>
      <c r="AF429" s="1004">
        <v>2221</v>
      </c>
      <c r="AG429" s="911">
        <v>2204</v>
      </c>
      <c r="AH429" s="911">
        <v>2445</v>
      </c>
      <c r="AI429" s="911">
        <v>2275</v>
      </c>
      <c r="AJ429" s="609">
        <f>AK429</f>
        <v>2368</v>
      </c>
      <c r="AK429" s="1004">
        <v>2368</v>
      </c>
      <c r="AL429" s="911">
        <v>2352</v>
      </c>
      <c r="AM429" s="911">
        <v>2372</v>
      </c>
      <c r="AN429" s="911">
        <v>2362</v>
      </c>
      <c r="AO429" s="609">
        <f>AP429</f>
        <v>2715</v>
      </c>
      <c r="AP429" s="1004">
        <v>2715</v>
      </c>
      <c r="AQ429" s="911">
        <v>2972</v>
      </c>
      <c r="AR429" s="911">
        <v>2861</v>
      </c>
      <c r="AS429" s="911">
        <v>2849</v>
      </c>
      <c r="AT429" s="609">
        <f>AU429</f>
        <v>3071</v>
      </c>
      <c r="AU429" s="1004">
        <v>3071</v>
      </c>
      <c r="AV429" s="911">
        <v>3414</v>
      </c>
      <c r="AW429" s="911">
        <v>3843</v>
      </c>
      <c r="AX429" s="911">
        <v>3590</v>
      </c>
      <c r="AY429" s="609">
        <f>AZ429</f>
        <v>3080</v>
      </c>
      <c r="AZ429" s="1004">
        <v>3080</v>
      </c>
      <c r="BA429" s="911">
        <v>3181</v>
      </c>
      <c r="BB429" s="911">
        <v>3329</v>
      </c>
      <c r="BC429" s="911">
        <v>3190</v>
      </c>
      <c r="BD429" s="609">
        <f>BE429</f>
        <v>2008</v>
      </c>
      <c r="BE429" s="1004">
        <v>2008</v>
      </c>
      <c r="BF429" s="911">
        <v>2058</v>
      </c>
      <c r="BG429" s="911">
        <v>1985</v>
      </c>
      <c r="BH429" s="915">
        <v>1678</v>
      </c>
      <c r="BI429" s="177">
        <f>BH429</f>
        <v>1678</v>
      </c>
      <c r="BJ429" s="973">
        <f t="shared" si="1066"/>
        <v>1678</v>
      </c>
      <c r="BK429" s="177">
        <f t="shared" si="1079"/>
        <v>1678</v>
      </c>
      <c r="BL429" s="177">
        <f t="shared" si="1079"/>
        <v>1678</v>
      </c>
      <c r="BM429" s="177">
        <f t="shared" si="1079"/>
        <v>1678</v>
      </c>
      <c r="BN429" s="177">
        <f t="shared" si="1079"/>
        <v>1678</v>
      </c>
      <c r="BO429" s="973">
        <f t="shared" si="1067"/>
        <v>1678</v>
      </c>
      <c r="BP429" s="973">
        <f t="shared" si="1080"/>
        <v>1678</v>
      </c>
      <c r="BQ429" s="973">
        <f t="shared" si="1080"/>
        <v>1678</v>
      </c>
      <c r="BR429" s="973">
        <f t="shared" si="1080"/>
        <v>1678</v>
      </c>
      <c r="BS429" s="229"/>
    </row>
    <row r="430" spans="1:71" s="44" customFormat="1" ht="15">
      <c r="A430" s="109" t="s">
        <v>154</v>
      </c>
      <c r="B430" s="367"/>
      <c r="C430" s="983">
        <f t="shared" si="1081" ref="C430:AN430">+SUM(C424:C429)</f>
        <v>84106</v>
      </c>
      <c r="D430" s="983">
        <f t="shared" si="1081"/>
        <v>101039</v>
      </c>
      <c r="E430" s="983">
        <f t="shared" si="1081"/>
        <v>116237</v>
      </c>
      <c r="F430" s="983">
        <f t="shared" si="1081"/>
        <v>131094</v>
      </c>
      <c r="G430" s="983">
        <f t="shared" si="1081"/>
        <v>121307</v>
      </c>
      <c r="H430" s="111">
        <f t="shared" si="1081"/>
        <v>123292</v>
      </c>
      <c r="I430" s="111">
        <f t="shared" si="1081"/>
        <v>127871</v>
      </c>
      <c r="J430" s="111">
        <f t="shared" si="1081"/>
        <v>127253</v>
      </c>
      <c r="K430" s="111">
        <f t="shared" si="1081"/>
        <v>119767</v>
      </c>
      <c r="L430" s="983">
        <f t="shared" si="1081"/>
        <v>119767</v>
      </c>
      <c r="M430" s="111">
        <f t="shared" si="1081"/>
        <v>121401</v>
      </c>
      <c r="N430" s="111">
        <f t="shared" si="1081"/>
        <v>115581</v>
      </c>
      <c r="O430" s="111">
        <f t="shared" si="1081"/>
        <v>117455</v>
      </c>
      <c r="P430" s="111">
        <f t="shared" si="1081"/>
        <v>118256</v>
      </c>
      <c r="Q430" s="983">
        <f t="shared" si="1081"/>
        <v>118256</v>
      </c>
      <c r="R430" s="111">
        <f t="shared" si="1081"/>
        <v>127766</v>
      </c>
      <c r="S430" s="111">
        <f t="shared" si="1081"/>
        <v>141287</v>
      </c>
      <c r="T430" s="111">
        <f t="shared" si="1081"/>
        <v>144101</v>
      </c>
      <c r="U430" s="111">
        <f t="shared" si="1081"/>
        <v>129819</v>
      </c>
      <c r="V430" s="983">
        <f t="shared" si="1081"/>
        <v>129819</v>
      </c>
      <c r="W430" s="111">
        <f t="shared" si="1081"/>
        <v>133650</v>
      </c>
      <c r="X430" s="111">
        <f t="shared" si="1081"/>
        <v>135394</v>
      </c>
      <c r="Y430" s="111">
        <f t="shared" si="1081"/>
        <v>136083</v>
      </c>
      <c r="Z430" s="111">
        <f t="shared" si="1081"/>
        <v>137217</v>
      </c>
      <c r="AA430" s="983">
        <f t="shared" si="1081"/>
        <v>137217</v>
      </c>
      <c r="AB430" s="111">
        <f t="shared" si="1081"/>
        <v>147356</v>
      </c>
      <c r="AC430" s="111">
        <f t="shared" si="1081"/>
        <v>141986</v>
      </c>
      <c r="AD430" s="111">
        <f t="shared" si="1081"/>
        <v>137941</v>
      </c>
      <c r="AE430" s="111">
        <f t="shared" si="1081"/>
        <v>140406</v>
      </c>
      <c r="AF430" s="983">
        <f t="shared" si="1081"/>
        <v>140406</v>
      </c>
      <c r="AG430" s="111">
        <f t="shared" si="1081"/>
        <v>145679</v>
      </c>
      <c r="AH430" s="111">
        <f t="shared" si="1081"/>
        <v>151400</v>
      </c>
      <c r="AI430" s="111">
        <f t="shared" si="1081"/>
        <v>154137</v>
      </c>
      <c r="AJ430" s="111">
        <f t="shared" si="1081"/>
        <v>152768</v>
      </c>
      <c r="AK430" s="983">
        <f t="shared" si="1081"/>
        <v>152768</v>
      </c>
      <c r="AL430" s="111">
        <f t="shared" si="1081"/>
        <v>151616</v>
      </c>
      <c r="AM430" s="111">
        <f t="shared" si="1081"/>
        <v>157087</v>
      </c>
      <c r="AN430" s="111">
        <f t="shared" si="1081"/>
        <v>160955</v>
      </c>
      <c r="AO430" s="111">
        <f t="shared" si="1082" ref="AO430:AQ430">+SUM(AO424:AO429)</f>
        <v>165086</v>
      </c>
      <c r="AP430" s="983">
        <f t="shared" si="1082"/>
        <v>165086</v>
      </c>
      <c r="AQ430" s="111">
        <f t="shared" si="1082"/>
        <v>158157</v>
      </c>
      <c r="AR430" s="111">
        <f t="shared" si="1083" ref="AR430:AW430">+SUM(AR424:AR429)</f>
        <v>161492</v>
      </c>
      <c r="AS430" s="111">
        <f t="shared" si="1083"/>
        <v>160597</v>
      </c>
      <c r="AT430" s="111">
        <f t="shared" si="1083"/>
        <v>157542</v>
      </c>
      <c r="AU430" s="983">
        <f t="shared" si="1083"/>
        <v>157542</v>
      </c>
      <c r="AV430" s="111">
        <f t="shared" si="1083"/>
        <v>147046</v>
      </c>
      <c r="AW430" s="111">
        <f t="shared" si="1083"/>
        <v>135629</v>
      </c>
      <c r="AX430" s="111">
        <f t="shared" si="1084" ref="AX430:BJ430">+SUM(AX424:AX429)</f>
        <v>128100</v>
      </c>
      <c r="AY430" s="111">
        <f t="shared" si="1084"/>
        <v>131017</v>
      </c>
      <c r="AZ430" s="983">
        <f t="shared" si="1084"/>
        <v>131017</v>
      </c>
      <c r="BA430" s="111">
        <f t="shared" si="1085" ref="BA430:BI430">+SUM(BA424:BA429)</f>
        <v>134966</v>
      </c>
      <c r="BB430" s="111">
        <f t="shared" si="1085"/>
        <v>130626</v>
      </c>
      <c r="BC430" s="111">
        <f t="shared" si="1085"/>
        <v>125111</v>
      </c>
      <c r="BD430" s="111">
        <f t="shared" si="1085"/>
        <v>126724</v>
      </c>
      <c r="BE430" s="977">
        <f t="shared" si="1085"/>
        <v>126724</v>
      </c>
      <c r="BF430" s="111">
        <f>+SUM(BF424:BF429)</f>
        <v>124742</v>
      </c>
      <c r="BG430" s="111">
        <f>+SUM(BG424:BG429)</f>
        <v>120168</v>
      </c>
      <c r="BH430" s="743">
        <f>+SUM(BH424:BH429)</f>
        <v>128442</v>
      </c>
      <c r="BI430" s="25">
        <f t="shared" ca="1" si="1085"/>
        <v>129719.92126701705</v>
      </c>
      <c r="BJ430" s="982">
        <f t="shared" ca="1" si="1084"/>
        <v>129719.92126701705</v>
      </c>
      <c r="BK430" s="25">
        <f ca="1" t="shared" si="1086" ref="BK430:BR430">+SUM(BK424:BK429)</f>
        <v>130688.3000812988</v>
      </c>
      <c r="BL430" s="25">
        <f t="shared" ca="1" si="1086"/>
        <v>131660.61905359305</v>
      </c>
      <c r="BM430" s="25">
        <f t="shared" ca="1" si="1086"/>
        <v>132646.0588349496</v>
      </c>
      <c r="BN430" s="25">
        <f t="shared" ca="1" si="1086"/>
        <v>133767.40594088196</v>
      </c>
      <c r="BO430" s="982">
        <f t="shared" ca="1" si="1086"/>
        <v>133767.40594088196</v>
      </c>
      <c r="BP430" s="982">
        <f t="shared" ca="1" si="1086"/>
        <v>137860.65315374115</v>
      </c>
      <c r="BQ430" s="982">
        <f t="shared" ca="1" si="1086"/>
        <v>142022.10097365567</v>
      </c>
      <c r="BR430" s="982">
        <f t="shared" ca="1" si="1086"/>
        <v>145510.90518598526</v>
      </c>
      <c r="BS430" s="100"/>
    </row>
    <row r="431" spans="1:71" s="41" customFormat="1" ht="15">
      <c r="A431" s="405"/>
      <c r="B431" s="372"/>
      <c r="C431" s="996"/>
      <c r="D431" s="996"/>
      <c r="E431" s="996"/>
      <c r="F431" s="996"/>
      <c r="G431" s="996"/>
      <c r="H431" s="371"/>
      <c r="I431" s="371"/>
      <c r="J431" s="371"/>
      <c r="K431" s="371"/>
      <c r="L431" s="996"/>
      <c r="M431" s="371"/>
      <c r="N431" s="371"/>
      <c r="O431" s="371"/>
      <c r="P431" s="371"/>
      <c r="Q431" s="996"/>
      <c r="R431" s="371"/>
      <c r="S431" s="371"/>
      <c r="T431" s="371"/>
      <c r="U431" s="371"/>
      <c r="V431" s="996"/>
      <c r="W431" s="371"/>
      <c r="X431" s="371"/>
      <c r="Y431" s="371"/>
      <c r="Z431" s="371"/>
      <c r="AA431" s="996"/>
      <c r="AB431" s="371"/>
      <c r="AC431" s="371"/>
      <c r="AD431" s="371"/>
      <c r="AE431" s="371"/>
      <c r="AF431" s="996"/>
      <c r="AG431" s="371"/>
      <c r="AH431" s="371"/>
      <c r="AI431" s="371"/>
      <c r="AJ431" s="371"/>
      <c r="AK431" s="996"/>
      <c r="AL431" s="371"/>
      <c r="AM431" s="371"/>
      <c r="AN431" s="371"/>
      <c r="AO431" s="371"/>
      <c r="AP431" s="996"/>
      <c r="AQ431" s="371"/>
      <c r="AR431" s="371"/>
      <c r="AS431" s="371"/>
      <c r="AT431" s="371"/>
      <c r="AU431" s="996"/>
      <c r="AV431" s="371"/>
      <c r="AW431" s="371"/>
      <c r="AX431" s="371"/>
      <c r="AY431" s="371"/>
      <c r="AZ431" s="996"/>
      <c r="BA431" s="371"/>
      <c r="BB431" s="371"/>
      <c r="BC431" s="371"/>
      <c r="BD431" s="371"/>
      <c r="BE431" s="996"/>
      <c r="BF431" s="371"/>
      <c r="BG431" s="371"/>
      <c r="BH431" s="748"/>
      <c r="BI431" s="371"/>
      <c r="BJ431" s="996"/>
      <c r="BK431" s="371"/>
      <c r="BL431" s="371"/>
      <c r="BM431" s="371"/>
      <c r="BN431" s="371"/>
      <c r="BO431" s="996"/>
      <c r="BP431" s="996"/>
      <c r="BQ431" s="996"/>
      <c r="BR431" s="996"/>
      <c r="BS431" s="158"/>
    </row>
    <row r="432" spans="1:71" s="44" customFormat="1" ht="15">
      <c r="A432" s="108" t="s">
        <v>155</v>
      </c>
      <c r="B432" s="369"/>
      <c r="C432" s="978"/>
      <c r="D432" s="978"/>
      <c r="E432" s="978"/>
      <c r="F432" s="978"/>
      <c r="G432" s="978"/>
      <c r="H432" s="185"/>
      <c r="I432" s="185"/>
      <c r="J432" s="185"/>
      <c r="K432" s="185"/>
      <c r="L432" s="978"/>
      <c r="M432" s="185"/>
      <c r="N432" s="185"/>
      <c r="O432" s="185"/>
      <c r="P432" s="185"/>
      <c r="Q432" s="978"/>
      <c r="R432" s="185"/>
      <c r="S432" s="185"/>
      <c r="T432" s="185"/>
      <c r="U432" s="185"/>
      <c r="V432" s="978"/>
      <c r="W432" s="185"/>
      <c r="X432" s="185"/>
      <c r="Y432" s="185"/>
      <c r="Z432" s="185"/>
      <c r="AA432" s="978"/>
      <c r="AB432" s="185"/>
      <c r="AC432" s="185"/>
      <c r="AD432" s="185"/>
      <c r="AE432" s="185"/>
      <c r="AF432" s="978"/>
      <c r="AG432" s="185"/>
      <c r="AH432" s="185"/>
      <c r="AI432" s="185"/>
      <c r="AJ432" s="185"/>
      <c r="AK432" s="978"/>
      <c r="AL432" s="185"/>
      <c r="AM432" s="185"/>
      <c r="AN432" s="185"/>
      <c r="AO432" s="185"/>
      <c r="AP432" s="978"/>
      <c r="AQ432" s="185"/>
      <c r="AR432" s="185"/>
      <c r="AS432" s="185"/>
      <c r="AT432" s="185"/>
      <c r="AU432" s="978"/>
      <c r="AV432" s="185"/>
      <c r="AW432" s="185"/>
      <c r="AX432" s="185"/>
      <c r="AY432" s="185"/>
      <c r="AZ432" s="978"/>
      <c r="BA432" s="185"/>
      <c r="BB432" s="185"/>
      <c r="BC432" s="185"/>
      <c r="BD432" s="185"/>
      <c r="BE432" s="978"/>
      <c r="BF432" s="185"/>
      <c r="BG432" s="185"/>
      <c r="BH432" s="552"/>
      <c r="BI432" s="185"/>
      <c r="BJ432" s="978"/>
      <c r="BK432" s="185"/>
      <c r="BL432" s="185"/>
      <c r="BM432" s="185"/>
      <c r="BN432" s="185"/>
      <c r="BO432" s="978"/>
      <c r="BP432" s="978"/>
      <c r="BQ432" s="978"/>
      <c r="BR432" s="978"/>
      <c r="BS432" s="100"/>
    </row>
    <row r="433" spans="1:71" s="224" customFormat="1" ht="15" hidden="1" outlineLevel="1">
      <c r="A433" s="439" t="s">
        <v>156</v>
      </c>
      <c r="B433" s="363"/>
      <c r="C433" s="1002">
        <v>61501</v>
      </c>
      <c r="D433" s="1002">
        <v>72103</v>
      </c>
      <c r="E433" s="1002">
        <v>79278</v>
      </c>
      <c r="F433" s="1002">
        <v>76463</v>
      </c>
      <c r="G433" s="1002">
        <v>69136</v>
      </c>
      <c r="H433" s="908">
        <v>71689</v>
      </c>
      <c r="I433" s="908">
        <v>73830</v>
      </c>
      <c r="J433" s="908">
        <v>70062</v>
      </c>
      <c r="K433" s="908">
        <v>65646</v>
      </c>
      <c r="L433" s="1002">
        <v>65646</v>
      </c>
      <c r="M433" s="908">
        <v>67292</v>
      </c>
      <c r="N433" s="908">
        <v>66701</v>
      </c>
      <c r="O433" s="908">
        <v>68971</v>
      </c>
      <c r="P433" s="908">
        <v>69687</v>
      </c>
      <c r="Q433" s="1002">
        <v>69687</v>
      </c>
      <c r="R433" s="908">
        <v>75071</v>
      </c>
      <c r="S433" s="908">
        <v>82611</v>
      </c>
      <c r="T433" s="908">
        <v>85163</v>
      </c>
      <c r="U433" s="908">
        <v>76106</v>
      </c>
      <c r="V433" s="1002">
        <v>76106</v>
      </c>
      <c r="W433" s="908">
        <v>79624</v>
      </c>
      <c r="X433" s="908">
        <v>80652</v>
      </c>
      <c r="Y433" s="908">
        <v>81116</v>
      </c>
      <c r="Z433" s="139">
        <f>AA433</f>
        <v>81857</v>
      </c>
      <c r="AA433" s="1002">
        <v>81857</v>
      </c>
      <c r="AB433" s="908">
        <v>87268</v>
      </c>
      <c r="AC433" s="908">
        <v>85046</v>
      </c>
      <c r="AD433" s="908">
        <v>83856</v>
      </c>
      <c r="AE433" s="139">
        <f>AF433</f>
        <v>86368</v>
      </c>
      <c r="AF433" s="1002">
        <v>86368</v>
      </c>
      <c r="AG433" s="908">
        <v>87011</v>
      </c>
      <c r="AH433" s="908">
        <v>90117</v>
      </c>
      <c r="AI433" s="908">
        <v>90824</v>
      </c>
      <c r="AJ433" s="139">
        <f>AK433</f>
        <v>90335</v>
      </c>
      <c r="AK433" s="1002">
        <v>90335</v>
      </c>
      <c r="AL433" s="908">
        <v>91393</v>
      </c>
      <c r="AM433" s="908">
        <v>92992</v>
      </c>
      <c r="AN433" s="908">
        <v>95240</v>
      </c>
      <c r="AO433" s="139">
        <f>AP433</f>
        <v>97783</v>
      </c>
      <c r="AP433" s="1002">
        <v>97783</v>
      </c>
      <c r="AQ433" s="908">
        <v>92396</v>
      </c>
      <c r="AR433" s="908">
        <v>92992</v>
      </c>
      <c r="AS433" s="908">
        <v>92434</v>
      </c>
      <c r="AT433" s="139">
        <f>AU433</f>
        <v>90588</v>
      </c>
      <c r="AU433" s="1002">
        <v>90588</v>
      </c>
      <c r="AV433" s="908">
        <v>85866</v>
      </c>
      <c r="AW433" s="908">
        <v>78210</v>
      </c>
      <c r="AX433" s="908">
        <v>74629</v>
      </c>
      <c r="AY433" s="139">
        <f>AZ433</f>
        <v>80749</v>
      </c>
      <c r="AZ433" s="1002">
        <v>80749</v>
      </c>
      <c r="BA433" s="908">
        <v>91293</v>
      </c>
      <c r="BB433" s="908">
        <v>85904</v>
      </c>
      <c r="BC433" s="908">
        <v>78448</v>
      </c>
      <c r="BD433" s="139">
        <f t="shared" si="1087" ref="BD433:BD441">BE433</f>
        <v>83718</v>
      </c>
      <c r="BE433" s="1002">
        <v>83718</v>
      </c>
      <c r="BF433" s="908">
        <v>77867</v>
      </c>
      <c r="BG433" s="908">
        <v>70339</v>
      </c>
      <c r="BH433" s="909">
        <v>79672</v>
      </c>
      <c r="BI433" s="176">
        <f>BH433+BI370</f>
        <v>80381.855802999999</v>
      </c>
      <c r="BJ433" s="971">
        <f>BI433</f>
        <v>80381.855802999999</v>
      </c>
      <c r="BK433" s="176">
        <f>BJ433+BK370</f>
        <v>80657.927505999993</v>
      </c>
      <c r="BL433" s="176">
        <f>BK433+BL370</f>
        <v>80934.139518999989</v>
      </c>
      <c r="BM433" s="176">
        <f>BL433+BM370</f>
        <v>81247.457331999991</v>
      </c>
      <c r="BN433" s="176">
        <f>BM433+BN370</f>
        <v>81602.565847999984</v>
      </c>
      <c r="BO433" s="971">
        <f>BN433</f>
        <v>81602.565847999984</v>
      </c>
      <c r="BP433" s="971">
        <f>BO433+BP370</f>
        <v>82828.708646999978</v>
      </c>
      <c r="BQ433" s="971">
        <f>BP433+BQ370</f>
        <v>84283.992167999982</v>
      </c>
      <c r="BR433" s="971">
        <f>BQ433+BR370</f>
        <v>85768.620558999988</v>
      </c>
      <c r="BS433" s="229"/>
    </row>
    <row r="434" spans="1:71" s="224" customFormat="1" ht="15" hidden="1" outlineLevel="1">
      <c r="A434" s="439" t="s">
        <v>157</v>
      </c>
      <c r="B434" s="363"/>
      <c r="C434" s="1002">
        <v>3270</v>
      </c>
      <c r="D434" s="1002">
        <v>3719</v>
      </c>
      <c r="E434" s="1002">
        <v>3981</v>
      </c>
      <c r="F434" s="1002">
        <v>4034</v>
      </c>
      <c r="G434" s="1002">
        <v>3763</v>
      </c>
      <c r="H434" s="908">
        <v>3875</v>
      </c>
      <c r="I434" s="908">
        <v>3941</v>
      </c>
      <c r="J434" s="908">
        <v>3829</v>
      </c>
      <c r="K434" s="908">
        <v>3630</v>
      </c>
      <c r="L434" s="1002">
        <v>3630</v>
      </c>
      <c r="M434" s="908">
        <v>3673</v>
      </c>
      <c r="N434" s="908">
        <v>3695</v>
      </c>
      <c r="O434" s="908">
        <v>3809</v>
      </c>
      <c r="P434" s="908">
        <v>3802</v>
      </c>
      <c r="Q434" s="1002">
        <v>3802</v>
      </c>
      <c r="R434" s="908">
        <v>3990</v>
      </c>
      <c r="S434" s="908">
        <v>4261</v>
      </c>
      <c r="T434" s="908">
        <v>4346</v>
      </c>
      <c r="U434" s="908">
        <v>4045</v>
      </c>
      <c r="V434" s="1002">
        <v>4045</v>
      </c>
      <c r="W434" s="908">
        <v>4230</v>
      </c>
      <c r="X434" s="908">
        <v>4281</v>
      </c>
      <c r="Y434" s="908">
        <v>4368</v>
      </c>
      <c r="Z434" s="139">
        <f>AA434</f>
        <v>4392</v>
      </c>
      <c r="AA434" s="1002">
        <v>4392</v>
      </c>
      <c r="AB434" s="908">
        <v>4630</v>
      </c>
      <c r="AC434" s="908">
        <v>4524</v>
      </c>
      <c r="AD434" s="908">
        <v>4530</v>
      </c>
      <c r="AE434" s="139">
        <f>AF434</f>
        <v>4584</v>
      </c>
      <c r="AF434" s="1002">
        <v>4584</v>
      </c>
      <c r="AG434" s="908">
        <v>4625</v>
      </c>
      <c r="AH434" s="908">
        <v>4706</v>
      </c>
      <c r="AI434" s="908">
        <v>4741</v>
      </c>
      <c r="AJ434" s="139">
        <f>AK434</f>
        <v>4659</v>
      </c>
      <c r="AK434" s="1002">
        <v>4659</v>
      </c>
      <c r="AL434" s="908">
        <v>4693</v>
      </c>
      <c r="AM434" s="908">
        <v>4773</v>
      </c>
      <c r="AN434" s="908">
        <v>4976</v>
      </c>
      <c r="AO434" s="139">
        <f>AP434</f>
        <v>5187</v>
      </c>
      <c r="AP434" s="1002">
        <v>5187</v>
      </c>
      <c r="AQ434" s="908">
        <v>4948</v>
      </c>
      <c r="AR434" s="908">
        <v>4921</v>
      </c>
      <c r="AS434" s="908">
        <v>4909</v>
      </c>
      <c r="AT434" s="139">
        <f>AU434</f>
        <v>4836</v>
      </c>
      <c r="AU434" s="1002">
        <v>4836</v>
      </c>
      <c r="AV434" s="908">
        <v>4754</v>
      </c>
      <c r="AW434" s="908">
        <v>4453</v>
      </c>
      <c r="AX434" s="908">
        <v>4516</v>
      </c>
      <c r="AY434" s="139">
        <f>AZ434</f>
        <v>4561</v>
      </c>
      <c r="AZ434" s="1002">
        <v>4561</v>
      </c>
      <c r="BA434" s="908">
        <v>229</v>
      </c>
      <c r="BB434" s="908">
        <v>244</v>
      </c>
      <c r="BC434" s="908">
        <v>249</v>
      </c>
      <c r="BD434" s="139">
        <f t="shared" si="1087"/>
        <v>261</v>
      </c>
      <c r="BE434" s="1002">
        <v>261</v>
      </c>
      <c r="BF434" s="908">
        <v>344</v>
      </c>
      <c r="BG434" s="908">
        <v>359</v>
      </c>
      <c r="BH434" s="909">
        <v>381</v>
      </c>
      <c r="BI434" s="176">
        <f t="shared" si="1088" ref="BI434:BI436">BH434</f>
        <v>381</v>
      </c>
      <c r="BJ434" s="971">
        <f>BI434</f>
        <v>381</v>
      </c>
      <c r="BK434" s="176">
        <f t="shared" si="1089" ref="BK434:BN436">BJ434</f>
        <v>381</v>
      </c>
      <c r="BL434" s="176">
        <f t="shared" si="1089"/>
        <v>381</v>
      </c>
      <c r="BM434" s="176">
        <f t="shared" si="1089"/>
        <v>381</v>
      </c>
      <c r="BN434" s="176">
        <f t="shared" si="1089"/>
        <v>381</v>
      </c>
      <c r="BO434" s="971">
        <f>BN434</f>
        <v>381</v>
      </c>
      <c r="BP434" s="971">
        <f t="shared" si="1090" ref="BP434:BR436">BO434</f>
        <v>381</v>
      </c>
      <c r="BQ434" s="971">
        <f t="shared" si="1090"/>
        <v>381</v>
      </c>
      <c r="BR434" s="971">
        <f t="shared" si="1090"/>
        <v>381</v>
      </c>
      <c r="BS434" s="229"/>
    </row>
    <row r="435" spans="1:71" s="224" customFormat="1" ht="15" hidden="1" outlineLevel="1">
      <c r="A435" s="439" t="s">
        <v>158</v>
      </c>
      <c r="B435" s="363"/>
      <c r="C435" s="1002">
        <v>926</v>
      </c>
      <c r="D435" s="1002">
        <v>1197</v>
      </c>
      <c r="E435" s="1002">
        <v>1704</v>
      </c>
      <c r="F435" s="1002">
        <v>11904</v>
      </c>
      <c r="G435" s="1002">
        <v>10642</v>
      </c>
      <c r="H435" s="908">
        <v>10779</v>
      </c>
      <c r="I435" s="908">
        <v>10715</v>
      </c>
      <c r="J435" s="908">
        <v>9742</v>
      </c>
      <c r="K435" s="908">
        <v>8626</v>
      </c>
      <c r="L435" s="1002">
        <v>8626</v>
      </c>
      <c r="M435" s="908">
        <v>8460</v>
      </c>
      <c r="N435" s="908">
        <v>8102</v>
      </c>
      <c r="O435" s="908">
        <v>8121</v>
      </c>
      <c r="P435" s="908">
        <v>7857</v>
      </c>
      <c r="Q435" s="1002">
        <v>7857</v>
      </c>
      <c r="R435" s="908">
        <v>8286</v>
      </c>
      <c r="S435" s="908">
        <v>8726</v>
      </c>
      <c r="T435" s="908">
        <v>8401</v>
      </c>
      <c r="U435" s="908">
        <v>6916</v>
      </c>
      <c r="V435" s="1002">
        <v>6916</v>
      </c>
      <c r="W435" s="908">
        <v>6825</v>
      </c>
      <c r="X435" s="908">
        <v>6547</v>
      </c>
      <c r="Y435" s="908">
        <v>6262</v>
      </c>
      <c r="Z435" s="139">
        <f>AA435</f>
        <v>5959</v>
      </c>
      <c r="AA435" s="1002">
        <v>5959</v>
      </c>
      <c r="AB435" s="908">
        <v>6084</v>
      </c>
      <c r="AC435" s="908">
        <v>5600</v>
      </c>
      <c r="AD435" s="908">
        <v>5224</v>
      </c>
      <c r="AE435" s="139">
        <f>AF435</f>
        <v>5090</v>
      </c>
      <c r="AF435" s="1002">
        <v>5090</v>
      </c>
      <c r="AG435" s="908">
        <v>4859</v>
      </c>
      <c r="AH435" s="908">
        <v>4763</v>
      </c>
      <c r="AI435" s="908">
        <v>4544</v>
      </c>
      <c r="AJ435" s="139">
        <f>AK435</f>
        <v>4243</v>
      </c>
      <c r="AK435" s="1002">
        <v>4243</v>
      </c>
      <c r="AL435" s="908">
        <v>4044</v>
      </c>
      <c r="AM435" s="908">
        <v>3854</v>
      </c>
      <c r="AN435" s="908">
        <v>3729</v>
      </c>
      <c r="AO435" s="139">
        <f>AP435</f>
        <v>3597</v>
      </c>
      <c r="AP435" s="1002">
        <v>3597</v>
      </c>
      <c r="AQ435" s="908">
        <v>3194</v>
      </c>
      <c r="AR435" s="908">
        <v>3005</v>
      </c>
      <c r="AS435" s="908">
        <v>2814</v>
      </c>
      <c r="AT435" s="139">
        <f>AU435</f>
        <v>2576</v>
      </c>
      <c r="AU435" s="1002">
        <v>2576</v>
      </c>
      <c r="AV435" s="908">
        <v>2318</v>
      </c>
      <c r="AW435" s="908">
        <v>1971</v>
      </c>
      <c r="AX435" s="908">
        <v>1763</v>
      </c>
      <c r="AY435" s="139">
        <f>AZ435</f>
        <v>1825</v>
      </c>
      <c r="AZ435" s="1002">
        <v>1825</v>
      </c>
      <c r="BA435" s="908">
        <v>1743</v>
      </c>
      <c r="BB435" s="908">
        <v>1544</v>
      </c>
      <c r="BC435" s="908">
        <v>1447</v>
      </c>
      <c r="BD435" s="139">
        <f t="shared" si="1087"/>
        <v>1451</v>
      </c>
      <c r="BE435" s="1002">
        <v>1451</v>
      </c>
      <c r="BF435" s="908">
        <v>1322</v>
      </c>
      <c r="BG435" s="908">
        <v>1216</v>
      </c>
      <c r="BH435" s="909">
        <v>1406</v>
      </c>
      <c r="BI435" s="176">
        <f t="shared" si="1088"/>
        <v>1406</v>
      </c>
      <c r="BJ435" s="971">
        <f>BI435</f>
        <v>1406</v>
      </c>
      <c r="BK435" s="176">
        <f t="shared" si="1089"/>
        <v>1406</v>
      </c>
      <c r="BL435" s="176">
        <f t="shared" si="1089"/>
        <v>1406</v>
      </c>
      <c r="BM435" s="176">
        <f t="shared" si="1089"/>
        <v>1406</v>
      </c>
      <c r="BN435" s="176">
        <f t="shared" si="1089"/>
        <v>1406</v>
      </c>
      <c r="BO435" s="971">
        <f>BN435</f>
        <v>1406</v>
      </c>
      <c r="BP435" s="971">
        <f t="shared" si="1090"/>
        <v>1406</v>
      </c>
      <c r="BQ435" s="971">
        <f t="shared" si="1090"/>
        <v>1406</v>
      </c>
      <c r="BR435" s="971">
        <f t="shared" si="1090"/>
        <v>1406</v>
      </c>
      <c r="BS435" s="229"/>
    </row>
    <row r="436" spans="1:71" s="224" customFormat="1" ht="15" hidden="1" outlineLevel="1">
      <c r="A436" s="440" t="s">
        <v>159</v>
      </c>
      <c r="B436" s="365"/>
      <c r="C436" s="1004">
        <v>3548</v>
      </c>
      <c r="D436" s="1004">
        <v>5437</v>
      </c>
      <c r="E436" s="1004">
        <v>9630</v>
      </c>
      <c r="F436" s="1004">
        <v>5319</v>
      </c>
      <c r="G436" s="1004">
        <v>5861</v>
      </c>
      <c r="H436" s="911">
        <v>6547</v>
      </c>
      <c r="I436" s="911">
        <v>6938</v>
      </c>
      <c r="J436" s="911">
        <v>6567</v>
      </c>
      <c r="K436" s="911">
        <v>6031</v>
      </c>
      <c r="L436" s="1004">
        <v>6031</v>
      </c>
      <c r="M436" s="911">
        <v>6139</v>
      </c>
      <c r="N436" s="911">
        <v>6083</v>
      </c>
      <c r="O436" s="911">
        <v>6284</v>
      </c>
      <c r="P436" s="911">
        <v>6285</v>
      </c>
      <c r="Q436" s="1004">
        <v>6285</v>
      </c>
      <c r="R436" s="911">
        <v>6781</v>
      </c>
      <c r="S436" s="911">
        <v>7468</v>
      </c>
      <c r="T436" s="911">
        <v>7646</v>
      </c>
      <c r="U436" s="911">
        <v>6659</v>
      </c>
      <c r="V436" s="1004">
        <v>6659</v>
      </c>
      <c r="W436" s="911">
        <v>6945</v>
      </c>
      <c r="X436" s="911">
        <v>6978</v>
      </c>
      <c r="Y436" s="911">
        <v>6967</v>
      </c>
      <c r="Z436" s="347">
        <f>AA436</f>
        <v>6939</v>
      </c>
      <c r="AA436" s="1004">
        <v>6939</v>
      </c>
      <c r="AB436" s="911">
        <v>7417</v>
      </c>
      <c r="AC436" s="911">
        <v>7140</v>
      </c>
      <c r="AD436" s="911">
        <v>6974</v>
      </c>
      <c r="AE436" s="347">
        <f>AF436</f>
        <v>7146</v>
      </c>
      <c r="AF436" s="1004">
        <v>7146</v>
      </c>
      <c r="AG436" s="911">
        <v>7185</v>
      </c>
      <c r="AH436" s="911">
        <v>7403</v>
      </c>
      <c r="AI436" s="911">
        <v>7421</v>
      </c>
      <c r="AJ436" s="347">
        <f>AK436</f>
        <v>7317</v>
      </c>
      <c r="AK436" s="1004">
        <v>7317</v>
      </c>
      <c r="AL436" s="911">
        <v>7422</v>
      </c>
      <c r="AM436" s="911">
        <v>7484</v>
      </c>
      <c r="AN436" s="911">
        <v>7642</v>
      </c>
      <c r="AO436" s="347">
        <f>AP436</f>
        <v>7824</v>
      </c>
      <c r="AP436" s="1004">
        <v>7824</v>
      </c>
      <c r="AQ436" s="911">
        <v>7367</v>
      </c>
      <c r="AR436" s="911">
        <v>7368</v>
      </c>
      <c r="AS436" s="911">
        <v>7286</v>
      </c>
      <c r="AT436" s="347">
        <f>AU436</f>
        <v>7072</v>
      </c>
      <c r="AU436" s="1004">
        <v>7072</v>
      </c>
      <c r="AV436" s="911">
        <v>6705</v>
      </c>
      <c r="AW436" s="911">
        <v>5984</v>
      </c>
      <c r="AX436" s="911">
        <v>5632</v>
      </c>
      <c r="AY436" s="347">
        <f>AZ436</f>
        <v>6123</v>
      </c>
      <c r="AZ436" s="1004">
        <v>6123</v>
      </c>
      <c r="BA436" s="911">
        <v>6668</v>
      </c>
      <c r="BB436" s="911">
        <v>6115</v>
      </c>
      <c r="BC436" s="911">
        <v>5884</v>
      </c>
      <c r="BD436" s="139">
        <f t="shared" si="1087"/>
        <v>6169</v>
      </c>
      <c r="BE436" s="1004">
        <v>6169</v>
      </c>
      <c r="BF436" s="911">
        <v>5831</v>
      </c>
      <c r="BG436" s="911">
        <v>5439</v>
      </c>
      <c r="BH436" s="915">
        <v>6095</v>
      </c>
      <c r="BI436" s="177">
        <f t="shared" si="1088"/>
        <v>6095</v>
      </c>
      <c r="BJ436" s="973">
        <f>BI436</f>
        <v>6095</v>
      </c>
      <c r="BK436" s="177">
        <f t="shared" si="1089"/>
        <v>6095</v>
      </c>
      <c r="BL436" s="177">
        <f t="shared" si="1089"/>
        <v>6095</v>
      </c>
      <c r="BM436" s="177">
        <f t="shared" si="1089"/>
        <v>6095</v>
      </c>
      <c r="BN436" s="177">
        <f t="shared" si="1089"/>
        <v>6095</v>
      </c>
      <c r="BO436" s="973">
        <f>BN436</f>
        <v>6095</v>
      </c>
      <c r="BP436" s="973">
        <f t="shared" si="1090"/>
        <v>6095</v>
      </c>
      <c r="BQ436" s="973">
        <f t="shared" si="1090"/>
        <v>6095</v>
      </c>
      <c r="BR436" s="973">
        <f t="shared" si="1090"/>
        <v>6095</v>
      </c>
      <c r="BS436" s="229"/>
    </row>
    <row r="437" spans="1:71" s="224" customFormat="1" ht="15" collapsed="1">
      <c r="A437" s="205" t="s">
        <v>160</v>
      </c>
      <c r="B437" s="363"/>
      <c r="C437" s="1003">
        <f t="shared" si="1091" ref="C437:AV437">+SUM(C433:C436)</f>
        <v>69245</v>
      </c>
      <c r="D437" s="1003">
        <f t="shared" si="1091"/>
        <v>82456</v>
      </c>
      <c r="E437" s="1003">
        <f t="shared" si="1091"/>
        <v>94593</v>
      </c>
      <c r="F437" s="1003">
        <f t="shared" si="1091"/>
        <v>97720</v>
      </c>
      <c r="G437" s="1003">
        <f t="shared" si="1091"/>
        <v>89402</v>
      </c>
      <c r="H437" s="139">
        <f t="shared" si="1091"/>
        <v>92890</v>
      </c>
      <c r="I437" s="139">
        <f t="shared" si="1091"/>
        <v>95424</v>
      </c>
      <c r="J437" s="139">
        <f t="shared" si="1091"/>
        <v>90200</v>
      </c>
      <c r="K437" s="139">
        <f t="shared" si="1091"/>
        <v>83933</v>
      </c>
      <c r="L437" s="1003">
        <f t="shared" si="1091"/>
        <v>83933</v>
      </c>
      <c r="M437" s="139">
        <f t="shared" si="1091"/>
        <v>85564</v>
      </c>
      <c r="N437" s="139">
        <f t="shared" si="1091"/>
        <v>84581</v>
      </c>
      <c r="O437" s="139">
        <f t="shared" si="1091"/>
        <v>87185</v>
      </c>
      <c r="P437" s="139">
        <f t="shared" si="1091"/>
        <v>87631</v>
      </c>
      <c r="Q437" s="1003">
        <f t="shared" si="1091"/>
        <v>87631</v>
      </c>
      <c r="R437" s="139">
        <f t="shared" si="1091"/>
        <v>94128</v>
      </c>
      <c r="S437" s="139">
        <f t="shared" si="1091"/>
        <v>103066</v>
      </c>
      <c r="T437" s="139">
        <f t="shared" si="1091"/>
        <v>105556</v>
      </c>
      <c r="U437" s="139">
        <f t="shared" si="1091"/>
        <v>93726</v>
      </c>
      <c r="V437" s="1003">
        <f t="shared" si="1091"/>
        <v>93726</v>
      </c>
      <c r="W437" s="139">
        <f t="shared" si="1091"/>
        <v>97624</v>
      </c>
      <c r="X437" s="139">
        <f t="shared" si="1091"/>
        <v>98458</v>
      </c>
      <c r="Y437" s="139">
        <f t="shared" si="1091"/>
        <v>98713</v>
      </c>
      <c r="Z437" s="139">
        <f t="shared" si="1091"/>
        <v>99147</v>
      </c>
      <c r="AA437" s="1003">
        <f t="shared" si="1091"/>
        <v>99147</v>
      </c>
      <c r="AB437" s="139">
        <f t="shared" si="1091"/>
        <v>105399</v>
      </c>
      <c r="AC437" s="139">
        <f t="shared" si="1091"/>
        <v>102310</v>
      </c>
      <c r="AD437" s="139">
        <f t="shared" si="1091"/>
        <v>100584</v>
      </c>
      <c r="AE437" s="139">
        <f t="shared" si="1091"/>
        <v>103188</v>
      </c>
      <c r="AF437" s="1003">
        <f t="shared" si="1091"/>
        <v>103188</v>
      </c>
      <c r="AG437" s="139">
        <f t="shared" si="1091"/>
        <v>103680</v>
      </c>
      <c r="AH437" s="139">
        <f t="shared" si="1091"/>
        <v>106989</v>
      </c>
      <c r="AI437" s="139">
        <f t="shared" si="1091"/>
        <v>107530</v>
      </c>
      <c r="AJ437" s="139">
        <f t="shared" si="1091"/>
        <v>106554</v>
      </c>
      <c r="AK437" s="1003">
        <f t="shared" si="1091"/>
        <v>106554</v>
      </c>
      <c r="AL437" s="139">
        <f t="shared" si="1091"/>
        <v>107552</v>
      </c>
      <c r="AM437" s="139">
        <f t="shared" si="1091"/>
        <v>109103</v>
      </c>
      <c r="AN437" s="139">
        <f t="shared" si="1091"/>
        <v>111587</v>
      </c>
      <c r="AO437" s="139">
        <f t="shared" si="1091"/>
        <v>114391</v>
      </c>
      <c r="AP437" s="1003">
        <f t="shared" si="1091"/>
        <v>114391</v>
      </c>
      <c r="AQ437" s="139">
        <f t="shared" si="1091"/>
        <v>107905</v>
      </c>
      <c r="AR437" s="139">
        <f t="shared" si="1091"/>
        <v>108286</v>
      </c>
      <c r="AS437" s="139">
        <f t="shared" si="1091"/>
        <v>107443</v>
      </c>
      <c r="AT437" s="139">
        <f t="shared" si="1091"/>
        <v>105072</v>
      </c>
      <c r="AU437" s="1003">
        <f t="shared" si="1091"/>
        <v>105072</v>
      </c>
      <c r="AV437" s="139">
        <f t="shared" si="1091"/>
        <v>99643</v>
      </c>
      <c r="AW437" s="139">
        <f t="shared" si="1092" ref="AW437:BB437">+SUM(AW433:AW436)</f>
        <v>90618</v>
      </c>
      <c r="AX437" s="139">
        <f t="shared" si="1092"/>
        <v>86540</v>
      </c>
      <c r="AY437" s="139">
        <f>+SUM(AY433:AY436)</f>
        <v>93258</v>
      </c>
      <c r="AZ437" s="1003">
        <f t="shared" si="1092"/>
        <v>93258</v>
      </c>
      <c r="BA437" s="139">
        <f t="shared" si="1092"/>
        <v>99933</v>
      </c>
      <c r="BB437" s="139">
        <f t="shared" si="1092"/>
        <v>93807</v>
      </c>
      <c r="BC437" s="139">
        <f t="shared" si="1093" ref="BC437:BI437">+SUM(BC433:BC436)</f>
        <v>86028</v>
      </c>
      <c r="BD437" s="796">
        <f t="shared" si="1087"/>
        <v>91599</v>
      </c>
      <c r="BE437" s="1003">
        <f t="shared" si="1093"/>
        <v>91599</v>
      </c>
      <c r="BF437" s="139">
        <f t="shared" si="1093"/>
        <v>85364</v>
      </c>
      <c r="BG437" s="139">
        <f t="shared" si="1093"/>
        <v>77353</v>
      </c>
      <c r="BH437" s="750">
        <f>+SUM(BH433:BH436)</f>
        <v>87554</v>
      </c>
      <c r="BI437" s="176">
        <f t="shared" si="1093"/>
        <v>88263.855802999999</v>
      </c>
      <c r="BJ437" s="971">
        <f t="shared" si="1094" ref="BJ437">+SUM(BJ433:BJ436)</f>
        <v>88263.855802999999</v>
      </c>
      <c r="BK437" s="176">
        <f t="shared" si="1095" ref="BK437:BR437">+SUM(BK433:BK436)</f>
        <v>88539.927505999993</v>
      </c>
      <c r="BL437" s="176">
        <f t="shared" si="1095"/>
        <v>88816.139518999989</v>
      </c>
      <c r="BM437" s="176">
        <f t="shared" si="1095"/>
        <v>89129.457331999991</v>
      </c>
      <c r="BN437" s="176">
        <f t="shared" si="1095"/>
        <v>89484.565847999984</v>
      </c>
      <c r="BO437" s="971">
        <f t="shared" si="1095"/>
        <v>89484.565847999984</v>
      </c>
      <c r="BP437" s="971">
        <f t="shared" si="1095"/>
        <v>90710.708646999978</v>
      </c>
      <c r="BQ437" s="971">
        <f t="shared" si="1095"/>
        <v>92165.992167999982</v>
      </c>
      <c r="BR437" s="971">
        <f t="shared" si="1095"/>
        <v>93650.620558999988</v>
      </c>
      <c r="BS437" s="229"/>
    </row>
    <row r="438" spans="1:71" s="224" customFormat="1" ht="15">
      <c r="A438" s="205" t="s">
        <v>161</v>
      </c>
      <c r="B438" s="363"/>
      <c r="C438" s="1002">
        <v>1653</v>
      </c>
      <c r="D438" s="1002">
        <v>1969</v>
      </c>
      <c r="E438" s="1002">
        <v>2308</v>
      </c>
      <c r="F438" s="1002">
        <v>3858</v>
      </c>
      <c r="G438" s="1002">
        <v>3718</v>
      </c>
      <c r="H438" s="908">
        <v>4258</v>
      </c>
      <c r="I438" s="908">
        <v>4917</v>
      </c>
      <c r="J438" s="908">
        <v>4469</v>
      </c>
      <c r="K438" s="908">
        <v>5293</v>
      </c>
      <c r="L438" s="1002">
        <v>5293</v>
      </c>
      <c r="M438" s="908">
        <v>5322</v>
      </c>
      <c r="N438" s="908">
        <v>4697</v>
      </c>
      <c r="O438" s="908">
        <v>4474</v>
      </c>
      <c r="P438" s="908">
        <v>4340</v>
      </c>
      <c r="Q438" s="1002">
        <v>4340</v>
      </c>
      <c r="R438" s="908">
        <v>5106</v>
      </c>
      <c r="S438" s="908">
        <v>6714</v>
      </c>
      <c r="T438" s="908">
        <v>6247</v>
      </c>
      <c r="U438" s="908">
        <v>5387</v>
      </c>
      <c r="V438" s="1002">
        <v>5387</v>
      </c>
      <c r="W438" s="908">
        <v>5626</v>
      </c>
      <c r="X438" s="908">
        <v>6057</v>
      </c>
      <c r="Y438" s="908">
        <v>6195</v>
      </c>
      <c r="Z438" s="139">
        <f>AA438</f>
        <v>4745</v>
      </c>
      <c r="AA438" s="1002">
        <v>4745</v>
      </c>
      <c r="AB438" s="908">
        <v>4407</v>
      </c>
      <c r="AC438" s="908">
        <v>4069</v>
      </c>
      <c r="AD438" s="908">
        <v>3887</v>
      </c>
      <c r="AE438" s="139">
        <f>AF438</f>
        <v>4020</v>
      </c>
      <c r="AF438" s="1002">
        <v>4020</v>
      </c>
      <c r="AG438" s="908">
        <v>5182</v>
      </c>
      <c r="AH438" s="908">
        <v>5243</v>
      </c>
      <c r="AI438" s="908">
        <v>5737</v>
      </c>
      <c r="AJ438" s="139">
        <f>AK438</f>
        <v>5370</v>
      </c>
      <c r="AK438" s="1002">
        <v>5370</v>
      </c>
      <c r="AL438" s="908">
        <v>4610</v>
      </c>
      <c r="AM438" s="908">
        <v>5228</v>
      </c>
      <c r="AN438" s="908">
        <v>4278</v>
      </c>
      <c r="AO438" s="139">
        <f>AP438</f>
        <v>4661</v>
      </c>
      <c r="AP438" s="1002">
        <v>4661</v>
      </c>
      <c r="AQ438" s="908">
        <v>4350</v>
      </c>
      <c r="AR438" s="908">
        <v>4451</v>
      </c>
      <c r="AS438" s="908">
        <v>4577</v>
      </c>
      <c r="AT438" s="139">
        <f>AU438</f>
        <v>4339</v>
      </c>
      <c r="AU438" s="1002">
        <v>4339</v>
      </c>
      <c r="AV438" s="908">
        <v>3503</v>
      </c>
      <c r="AW438" s="908">
        <v>2275</v>
      </c>
      <c r="AX438" s="908">
        <v>1888</v>
      </c>
      <c r="AY438" s="139">
        <f>AZ438</f>
        <v>1296</v>
      </c>
      <c r="AZ438" s="1002">
        <v>1296</v>
      </c>
      <c r="BA438" s="908">
        <v>647</v>
      </c>
      <c r="BB438" s="908">
        <v>343</v>
      </c>
      <c r="BC438" s="908">
        <v>869</v>
      </c>
      <c r="BD438" s="139">
        <f t="shared" si="1087"/>
        <v>154</v>
      </c>
      <c r="BE438" s="1002">
        <v>154</v>
      </c>
      <c r="BF438" s="908">
        <v>777</v>
      </c>
      <c r="BG438" s="908">
        <v>752</v>
      </c>
      <c r="BH438" s="909">
        <v>454</v>
      </c>
      <c r="BI438" s="176">
        <f>BH438+BI366</f>
        <v>454</v>
      </c>
      <c r="BJ438" s="971">
        <f>BI438</f>
        <v>454</v>
      </c>
      <c r="BK438" s="176">
        <f>BJ438+BK366</f>
        <v>454</v>
      </c>
      <c r="BL438" s="176">
        <f>BK438+BL366</f>
        <v>454</v>
      </c>
      <c r="BM438" s="176">
        <f>BL438+BM366</f>
        <v>454</v>
      </c>
      <c r="BN438" s="176">
        <f>BM438+BN366</f>
        <v>454</v>
      </c>
      <c r="BO438" s="971">
        <f>BN438</f>
        <v>454</v>
      </c>
      <c r="BP438" s="971">
        <f>BO438+BP366</f>
        <v>252.96270637074767</v>
      </c>
      <c r="BQ438" s="971">
        <f>BP438+BQ366</f>
        <v>-55.691701622345391</v>
      </c>
      <c r="BR438" s="971">
        <f>BQ438+BR366</f>
        <v>-55.691701622345391</v>
      </c>
      <c r="BS438" s="229"/>
    </row>
    <row r="439" spans="1:71" s="224" customFormat="1" ht="15">
      <c r="A439" s="205" t="s">
        <v>162</v>
      </c>
      <c r="B439" s="363"/>
      <c r="C439" s="1002">
        <v>483</v>
      </c>
      <c r="D439" s="1002">
        <v>191</v>
      </c>
      <c r="E439" s="1002">
        <v>838</v>
      </c>
      <c r="F439" s="1002">
        <v>6277</v>
      </c>
      <c r="G439" s="1002">
        <v>5820</v>
      </c>
      <c r="H439" s="908">
        <v>3313</v>
      </c>
      <c r="I439" s="908">
        <v>2972</v>
      </c>
      <c r="J439" s="908">
        <v>7025</v>
      </c>
      <c r="K439" s="908">
        <v>2193</v>
      </c>
      <c r="L439" s="1002">
        <v>2193</v>
      </c>
      <c r="M439" s="908">
        <v>2615</v>
      </c>
      <c r="N439" s="908">
        <v>1023</v>
      </c>
      <c r="O439" s="908">
        <v>907</v>
      </c>
      <c r="P439" s="908">
        <v>941</v>
      </c>
      <c r="Q439" s="1002">
        <v>941</v>
      </c>
      <c r="R439" s="908">
        <v>830</v>
      </c>
      <c r="S439" s="908">
        <v>826</v>
      </c>
      <c r="T439" s="908">
        <v>1053</v>
      </c>
      <c r="U439" s="908">
        <v>526</v>
      </c>
      <c r="V439" s="1002">
        <v>526</v>
      </c>
      <c r="W439" s="908">
        <v>1482</v>
      </c>
      <c r="X439" s="908">
        <v>663</v>
      </c>
      <c r="Y439" s="908">
        <v>522</v>
      </c>
      <c r="Z439" s="139">
        <f>AA439</f>
        <v>606</v>
      </c>
      <c r="AA439" s="1002">
        <v>606</v>
      </c>
      <c r="AB439" s="908">
        <v>5368</v>
      </c>
      <c r="AC439" s="908">
        <v>3712</v>
      </c>
      <c r="AD439" s="908">
        <v>1970</v>
      </c>
      <c r="AE439" s="139">
        <f>AF439</f>
        <v>1052</v>
      </c>
      <c r="AF439" s="1002">
        <v>1052</v>
      </c>
      <c r="AG439" s="908">
        <v>1969</v>
      </c>
      <c r="AH439" s="908">
        <v>1557</v>
      </c>
      <c r="AI439" s="908">
        <v>2189</v>
      </c>
      <c r="AJ439" s="139">
        <f>AK439</f>
        <v>1876</v>
      </c>
      <c r="AK439" s="1002">
        <v>1876</v>
      </c>
      <c r="AL439" s="139"/>
      <c r="AM439" s="139"/>
      <c r="AN439" s="139"/>
      <c r="AO439" s="139">
        <f>AP439</f>
        <v>0</v>
      </c>
      <c r="AP439" s="1003"/>
      <c r="AQ439" s="908">
        <v>1896</v>
      </c>
      <c r="AR439" s="908">
        <v>3133</v>
      </c>
      <c r="AS439" s="908">
        <v>2849</v>
      </c>
      <c r="AT439" s="139">
        <f>AU439</f>
        <v>2162</v>
      </c>
      <c r="AU439" s="1002">
        <v>2162</v>
      </c>
      <c r="AV439" s="908">
        <v>2198</v>
      </c>
      <c r="AW439" s="908">
        <v>3261</v>
      </c>
      <c r="AX439" s="908">
        <v>2721</v>
      </c>
      <c r="AY439" s="139">
        <f>AZ439</f>
        <v>1809</v>
      </c>
      <c r="AZ439" s="1002">
        <v>1809</v>
      </c>
      <c r="BA439" s="908">
        <v>3460</v>
      </c>
      <c r="BB439" s="908">
        <v>4679</v>
      </c>
      <c r="BC439" s="908">
        <v>4607</v>
      </c>
      <c r="BD439" s="139">
        <f t="shared" si="1087"/>
        <v>1503</v>
      </c>
      <c r="BE439" s="1002">
        <v>1503</v>
      </c>
      <c r="BF439" s="908">
        <v>3366</v>
      </c>
      <c r="BG439" s="908">
        <v>4493</v>
      </c>
      <c r="BH439" s="909">
        <v>4233</v>
      </c>
      <c r="BI439" s="176">
        <f>BH439</f>
        <v>4233</v>
      </c>
      <c r="BJ439" s="971">
        <f>BI439</f>
        <v>4233</v>
      </c>
      <c r="BK439" s="176">
        <f>BJ439</f>
        <v>4233</v>
      </c>
      <c r="BL439" s="176">
        <f>BK439</f>
        <v>4233</v>
      </c>
      <c r="BM439" s="176">
        <f>BL439</f>
        <v>4233</v>
      </c>
      <c r="BN439" s="176">
        <f>BM439</f>
        <v>4233</v>
      </c>
      <c r="BO439" s="971">
        <f>BN439</f>
        <v>4233</v>
      </c>
      <c r="BP439" s="971">
        <f>BO439</f>
        <v>4233</v>
      </c>
      <c r="BQ439" s="971">
        <f>BP439</f>
        <v>4233</v>
      </c>
      <c r="BR439" s="971">
        <f>BQ439</f>
        <v>4233</v>
      </c>
      <c r="BS439" s="229"/>
    </row>
    <row r="440" spans="1:71" s="224" customFormat="1" ht="15">
      <c r="A440" s="205" t="s">
        <v>163</v>
      </c>
      <c r="B440" s="363"/>
      <c r="C440" s="1002">
        <v>2599</v>
      </c>
      <c r="D440" s="1002">
        <v>3038</v>
      </c>
      <c r="E440" s="1002">
        <v>3285</v>
      </c>
      <c r="F440" s="1002">
        <v>4352</v>
      </c>
      <c r="G440" s="1002">
        <v>4897</v>
      </c>
      <c r="H440" s="908">
        <v>4913</v>
      </c>
      <c r="I440" s="908">
        <v>4925</v>
      </c>
      <c r="J440" s="908">
        <v>4558</v>
      </c>
      <c r="K440" s="908">
        <v>5282</v>
      </c>
      <c r="L440" s="1002">
        <v>5282</v>
      </c>
      <c r="M440" s="908">
        <v>6282</v>
      </c>
      <c r="N440" s="908">
        <v>5425</v>
      </c>
      <c r="O440" s="908">
        <v>5009</v>
      </c>
      <c r="P440" s="908">
        <v>4971</v>
      </c>
      <c r="Q440" s="1002">
        <v>4971</v>
      </c>
      <c r="R440" s="908">
        <v>4984</v>
      </c>
      <c r="S440" s="908">
        <v>5009</v>
      </c>
      <c r="T440" s="908">
        <v>5765</v>
      </c>
      <c r="U440" s="908">
        <v>5360</v>
      </c>
      <c r="V440" s="1002">
        <v>5360</v>
      </c>
      <c r="W440" s="908">
        <v>5250</v>
      </c>
      <c r="X440" s="908">
        <v>5252</v>
      </c>
      <c r="Y440" s="908">
        <v>5248</v>
      </c>
      <c r="Z440" s="139">
        <f>AA440</f>
        <v>5289</v>
      </c>
      <c r="AA440" s="1002">
        <v>5289</v>
      </c>
      <c r="AB440" s="908">
        <v>5372</v>
      </c>
      <c r="AC440" s="908">
        <v>5315</v>
      </c>
      <c r="AD440" s="908">
        <v>5279</v>
      </c>
      <c r="AE440" s="139">
        <f>AF440</f>
        <v>5778</v>
      </c>
      <c r="AF440" s="1002">
        <v>5778</v>
      </c>
      <c r="AG440" s="908">
        <v>5900</v>
      </c>
      <c r="AH440" s="908">
        <v>6231</v>
      </c>
      <c r="AI440" s="908">
        <v>6233</v>
      </c>
      <c r="AJ440" s="139">
        <f>AK440</f>
        <v>6569</v>
      </c>
      <c r="AK440" s="1002">
        <v>6569</v>
      </c>
      <c r="AL440" s="908">
        <v>6758</v>
      </c>
      <c r="AM440" s="908">
        <v>7771</v>
      </c>
      <c r="AN440" s="908">
        <v>7825</v>
      </c>
      <c r="AO440" s="139">
        <f>AP440</f>
        <v>7899</v>
      </c>
      <c r="AP440" s="1002">
        <v>7899</v>
      </c>
      <c r="AQ440" s="908">
        <v>8088</v>
      </c>
      <c r="AR440" s="908">
        <v>8121</v>
      </c>
      <c r="AS440" s="908">
        <v>8066</v>
      </c>
      <c r="AT440" s="139">
        <f>AU440</f>
        <v>7956</v>
      </c>
      <c r="AU440" s="1002">
        <v>7956</v>
      </c>
      <c r="AV440" s="908">
        <v>7768</v>
      </c>
      <c r="AW440" s="908">
        <v>7416</v>
      </c>
      <c r="AX440" s="908">
        <v>7518</v>
      </c>
      <c r="AY440" s="139">
        <f>AZ440</f>
        <v>7442</v>
      </c>
      <c r="AZ440" s="1002">
        <v>7442</v>
      </c>
      <c r="BA440" s="908">
        <v>7420</v>
      </c>
      <c r="BB440" s="908">
        <v>7087</v>
      </c>
      <c r="BC440" s="908">
        <v>6961</v>
      </c>
      <c r="BD440" s="139">
        <f t="shared" si="1087"/>
        <v>7364</v>
      </c>
      <c r="BE440" s="1002">
        <v>7364</v>
      </c>
      <c r="BF440" s="908">
        <v>7912</v>
      </c>
      <c r="BG440" s="908">
        <v>7430</v>
      </c>
      <c r="BH440" s="909">
        <v>7978</v>
      </c>
      <c r="BI440" s="176">
        <f>BH440+BI397+BI398</f>
        <v>7978</v>
      </c>
      <c r="BJ440" s="971">
        <f>BI440</f>
        <v>7978</v>
      </c>
      <c r="BK440" s="176">
        <f>BJ440+BK397+BK398</f>
        <v>7978</v>
      </c>
      <c r="BL440" s="176">
        <f>BK440+BL397+BL398</f>
        <v>7978</v>
      </c>
      <c r="BM440" s="176">
        <f>BL440+BM397+BM398</f>
        <v>7978</v>
      </c>
      <c r="BN440" s="176">
        <f>BM440+BN397+BN398</f>
        <v>7978</v>
      </c>
      <c r="BO440" s="971">
        <f>BN440</f>
        <v>7978</v>
      </c>
      <c r="BP440" s="971">
        <f>BO440+BP397+BP398</f>
        <v>7978</v>
      </c>
      <c r="BQ440" s="971">
        <f>BP440+BQ397+BQ398</f>
        <v>7978</v>
      </c>
      <c r="BR440" s="971">
        <f>BQ440+BR397+BR398</f>
        <v>7978</v>
      </c>
      <c r="BS440" s="229"/>
    </row>
    <row r="441" spans="1:71" s="224" customFormat="1" ht="15">
      <c r="A441" s="344" t="s">
        <v>153</v>
      </c>
      <c r="B441" s="365"/>
      <c r="C441" s="1004">
        <v>1709</v>
      </c>
      <c r="D441" s="1004">
        <v>2329</v>
      </c>
      <c r="E441" s="1004">
        <v>2267</v>
      </c>
      <c r="F441" s="1004">
        <v>2909</v>
      </c>
      <c r="G441" s="1004">
        <v>2850</v>
      </c>
      <c r="H441" s="911">
        <v>2242</v>
      </c>
      <c r="I441" s="911">
        <v>2075</v>
      </c>
      <c r="J441" s="911">
        <v>3148</v>
      </c>
      <c r="K441" s="911">
        <v>4719</v>
      </c>
      <c r="L441" s="1004">
        <v>4719</v>
      </c>
      <c r="M441" s="911">
        <v>2981</v>
      </c>
      <c r="N441" s="911">
        <v>2837</v>
      </c>
      <c r="O441" s="911">
        <v>2625</v>
      </c>
      <c r="P441" s="911">
        <v>2665</v>
      </c>
      <c r="Q441" s="1004">
        <v>2665</v>
      </c>
      <c r="R441" s="911">
        <v>2697</v>
      </c>
      <c r="S441" s="911">
        <v>3122</v>
      </c>
      <c r="T441" s="911">
        <v>2695</v>
      </c>
      <c r="U441" s="911">
        <v>4338</v>
      </c>
      <c r="V441" s="1004">
        <v>4338</v>
      </c>
      <c r="W441" s="911">
        <v>3328</v>
      </c>
      <c r="X441" s="911">
        <v>3461</v>
      </c>
      <c r="Y441" s="911">
        <v>3428</v>
      </c>
      <c r="Z441" s="347">
        <f>AA441</f>
        <v>2832</v>
      </c>
      <c r="AA441" s="1004">
        <v>2832</v>
      </c>
      <c r="AB441" s="911">
        <v>2523</v>
      </c>
      <c r="AC441" s="911">
        <v>2780</v>
      </c>
      <c r="AD441" s="911">
        <v>2987</v>
      </c>
      <c r="AE441" s="347">
        <f>AF441</f>
        <v>2906</v>
      </c>
      <c r="AF441" s="1004">
        <v>2906</v>
      </c>
      <c r="AG441" s="911">
        <v>2899</v>
      </c>
      <c r="AH441" s="911">
        <v>3139</v>
      </c>
      <c r="AI441" s="911">
        <v>3010</v>
      </c>
      <c r="AJ441" s="347">
        <f>AK441</f>
        <v>3440</v>
      </c>
      <c r="AK441" s="1004">
        <v>3440</v>
      </c>
      <c r="AL441" s="911">
        <v>6294</v>
      </c>
      <c r="AM441" s="911">
        <v>5565</v>
      </c>
      <c r="AN441" s="911">
        <v>4786</v>
      </c>
      <c r="AO441" s="347">
        <f>AP441</f>
        <v>4576</v>
      </c>
      <c r="AP441" s="1004">
        <v>4576</v>
      </c>
      <c r="AQ441" s="911">
        <v>3815</v>
      </c>
      <c r="AR441" s="911">
        <v>3766</v>
      </c>
      <c r="AS441" s="911">
        <v>4110</v>
      </c>
      <c r="AT441" s="347">
        <f>AU441</f>
        <v>4760</v>
      </c>
      <c r="AU441" s="1004">
        <v>4760</v>
      </c>
      <c r="AV441" s="911">
        <v>4407</v>
      </c>
      <c r="AW441" s="911">
        <v>5672</v>
      </c>
      <c r="AX441" s="911">
        <v>5281</v>
      </c>
      <c r="AY441" s="347">
        <f>AZ441</f>
        <v>4847</v>
      </c>
      <c r="AZ441" s="1004">
        <v>4847</v>
      </c>
      <c r="BA441" s="911">
        <v>3722</v>
      </c>
      <c r="BB441" s="911">
        <v>4271</v>
      </c>
      <c r="BC441" s="911">
        <v>3977</v>
      </c>
      <c r="BD441" s="139">
        <f t="shared" si="1087"/>
        <v>4119</v>
      </c>
      <c r="BE441" s="1004">
        <v>4119</v>
      </c>
      <c r="BF441" s="911">
        <v>3786</v>
      </c>
      <c r="BG441" s="347">
        <f>8586-BG439</f>
        <v>4093</v>
      </c>
      <c r="BH441" s="915">
        <v>3393</v>
      </c>
      <c r="BI441" s="177">
        <f>BH441</f>
        <v>3393</v>
      </c>
      <c r="BJ441" s="973">
        <f>BI441</f>
        <v>3393</v>
      </c>
      <c r="BK441" s="177">
        <f>BJ441</f>
        <v>3393</v>
      </c>
      <c r="BL441" s="177">
        <f>BK441</f>
        <v>3393</v>
      </c>
      <c r="BM441" s="177">
        <f>BL441</f>
        <v>3393</v>
      </c>
      <c r="BN441" s="177">
        <f>BM441</f>
        <v>3393</v>
      </c>
      <c r="BO441" s="973">
        <f>BN441</f>
        <v>3393</v>
      </c>
      <c r="BP441" s="973">
        <f>BO441</f>
        <v>3393</v>
      </c>
      <c r="BQ441" s="973">
        <f>BP441</f>
        <v>3393</v>
      </c>
      <c r="BR441" s="973">
        <f>BQ441</f>
        <v>3393</v>
      </c>
      <c r="BS441" s="229"/>
    </row>
    <row r="442" spans="1:71" s="44" customFormat="1" ht="15">
      <c r="A442" s="109" t="s">
        <v>164</v>
      </c>
      <c r="B442" s="367"/>
      <c r="C442" s="983">
        <f t="shared" si="1096" ref="C442:AN442">+SUM(C437:C441)</f>
        <v>75689</v>
      </c>
      <c r="D442" s="983">
        <f t="shared" si="1096"/>
        <v>89983</v>
      </c>
      <c r="E442" s="983">
        <f t="shared" si="1096"/>
        <v>103291</v>
      </c>
      <c r="F442" s="983">
        <f t="shared" si="1096"/>
        <v>115116</v>
      </c>
      <c r="G442" s="983">
        <f t="shared" si="1096"/>
        <v>106687</v>
      </c>
      <c r="H442" s="111">
        <f t="shared" si="1096"/>
        <v>107616</v>
      </c>
      <c r="I442" s="111">
        <f t="shared" si="1096"/>
        <v>110313</v>
      </c>
      <c r="J442" s="111">
        <f t="shared" si="1096"/>
        <v>109400</v>
      </c>
      <c r="K442" s="111">
        <f t="shared" si="1096"/>
        <v>101420</v>
      </c>
      <c r="L442" s="983">
        <f t="shared" si="1096"/>
        <v>101420</v>
      </c>
      <c r="M442" s="111">
        <f t="shared" si="1096"/>
        <v>102764</v>
      </c>
      <c r="N442" s="111">
        <f t="shared" si="1096"/>
        <v>98563</v>
      </c>
      <c r="O442" s="111">
        <f t="shared" si="1096"/>
        <v>100200</v>
      </c>
      <c r="P442" s="111">
        <f t="shared" si="1096"/>
        <v>100548</v>
      </c>
      <c r="Q442" s="983">
        <f t="shared" si="1096"/>
        <v>100548</v>
      </c>
      <c r="R442" s="111">
        <f t="shared" si="1096"/>
        <v>107745</v>
      </c>
      <c r="S442" s="111">
        <f t="shared" si="1096"/>
        <v>118737</v>
      </c>
      <c r="T442" s="111">
        <f t="shared" si="1096"/>
        <v>121316</v>
      </c>
      <c r="U442" s="111">
        <f t="shared" si="1096"/>
        <v>109337</v>
      </c>
      <c r="V442" s="983">
        <f t="shared" si="1096"/>
        <v>109337</v>
      </c>
      <c r="W442" s="111">
        <f t="shared" si="1096"/>
        <v>113310</v>
      </c>
      <c r="X442" s="111">
        <f t="shared" si="1096"/>
        <v>113891</v>
      </c>
      <c r="Y442" s="111">
        <f t="shared" si="1096"/>
        <v>114106</v>
      </c>
      <c r="Z442" s="111">
        <f t="shared" si="1096"/>
        <v>112619</v>
      </c>
      <c r="AA442" s="983">
        <f t="shared" si="1096"/>
        <v>112619</v>
      </c>
      <c r="AB442" s="111">
        <f t="shared" si="1096"/>
        <v>123069</v>
      </c>
      <c r="AC442" s="111">
        <f t="shared" si="1096"/>
        <v>118186</v>
      </c>
      <c r="AD442" s="111">
        <f t="shared" si="1096"/>
        <v>114707</v>
      </c>
      <c r="AE442" s="111">
        <f t="shared" si="1096"/>
        <v>116944</v>
      </c>
      <c r="AF442" s="983">
        <f t="shared" si="1096"/>
        <v>116944</v>
      </c>
      <c r="AG442" s="111">
        <f t="shared" si="1096"/>
        <v>119630</v>
      </c>
      <c r="AH442" s="111">
        <f t="shared" si="1096"/>
        <v>123159</v>
      </c>
      <c r="AI442" s="111">
        <f t="shared" si="1096"/>
        <v>124699</v>
      </c>
      <c r="AJ442" s="111">
        <f t="shared" si="1096"/>
        <v>123809</v>
      </c>
      <c r="AK442" s="983">
        <f t="shared" si="1096"/>
        <v>123809</v>
      </c>
      <c r="AL442" s="111">
        <f t="shared" si="1096"/>
        <v>125214</v>
      </c>
      <c r="AM442" s="111">
        <f t="shared" si="1096"/>
        <v>127667</v>
      </c>
      <c r="AN442" s="111">
        <f t="shared" si="1096"/>
        <v>128476</v>
      </c>
      <c r="AO442" s="111">
        <f t="shared" si="1097" ref="AO442:AP442">+SUM(AO437:AO441)</f>
        <v>131527</v>
      </c>
      <c r="AP442" s="983">
        <f t="shared" si="1097"/>
        <v>131527</v>
      </c>
      <c r="AQ442" s="111">
        <f t="shared" si="1098" ref="AQ442">+SUM(AQ437:AQ441)</f>
        <v>126054</v>
      </c>
      <c r="AR442" s="111">
        <f t="shared" si="1099" ref="AR442:AW442">+SUM(AR437:AR441)</f>
        <v>127757</v>
      </c>
      <c r="AS442" s="111">
        <f t="shared" si="1099"/>
        <v>127045</v>
      </c>
      <c r="AT442" s="111">
        <f t="shared" si="1099"/>
        <v>124289</v>
      </c>
      <c r="AU442" s="983">
        <f t="shared" si="1099"/>
        <v>124289</v>
      </c>
      <c r="AV442" s="111">
        <f t="shared" si="1099"/>
        <v>117519</v>
      </c>
      <c r="AW442" s="111">
        <f t="shared" si="1099"/>
        <v>109242</v>
      </c>
      <c r="AX442" s="25">
        <f t="shared" si="1100" ref="AX442:BJ442">+SUM(AX437:AX441)</f>
        <v>103948</v>
      </c>
      <c r="AY442" s="111">
        <f t="shared" si="1100"/>
        <v>108652</v>
      </c>
      <c r="AZ442" s="983">
        <f t="shared" si="1100"/>
        <v>108652</v>
      </c>
      <c r="BA442" s="111">
        <f t="shared" si="1101" ref="BA442:BI442">+SUM(BA437:BA441)</f>
        <v>115182</v>
      </c>
      <c r="BB442" s="111">
        <f t="shared" si="1101"/>
        <v>110187</v>
      </c>
      <c r="BC442" s="25">
        <f t="shared" si="1101"/>
        <v>102442</v>
      </c>
      <c r="BD442" s="111">
        <f t="shared" si="1101"/>
        <v>104739</v>
      </c>
      <c r="BE442" s="983">
        <f t="shared" si="1101"/>
        <v>104739</v>
      </c>
      <c r="BF442" s="111">
        <f>+SUM(BF437:BF441)</f>
        <v>101205</v>
      </c>
      <c r="BG442" s="111">
        <f>+SUM(BG437:BG441)</f>
        <v>94121</v>
      </c>
      <c r="BH442" s="749">
        <f>+SUM(BH437:BH441)</f>
        <v>103612</v>
      </c>
      <c r="BI442" s="25">
        <f t="shared" si="1101"/>
        <v>104321.855803</v>
      </c>
      <c r="BJ442" s="982">
        <f t="shared" si="1100"/>
        <v>104321.855803</v>
      </c>
      <c r="BK442" s="25">
        <f t="shared" si="1102" ref="BK442:BR442">+SUM(BK437:BK441)</f>
        <v>104597.92750599999</v>
      </c>
      <c r="BL442" s="25">
        <f t="shared" si="1102"/>
        <v>104874.13951899999</v>
      </c>
      <c r="BM442" s="25">
        <f t="shared" si="1102"/>
        <v>105187.45733199999</v>
      </c>
      <c r="BN442" s="25">
        <f t="shared" si="1102"/>
        <v>105542.56584799998</v>
      </c>
      <c r="BO442" s="982">
        <f t="shared" si="1102"/>
        <v>105542.56584799998</v>
      </c>
      <c r="BP442" s="982">
        <f t="shared" si="1102"/>
        <v>106567.67135337072</v>
      </c>
      <c r="BQ442" s="982">
        <f t="shared" si="1102"/>
        <v>107714.30046637764</v>
      </c>
      <c r="BR442" s="982">
        <f t="shared" si="1102"/>
        <v>109198.92885737764</v>
      </c>
      <c r="BS442" s="100"/>
    </row>
    <row r="443" spans="1:71" s="44" customFormat="1" ht="15">
      <c r="A443" s="368"/>
      <c r="B443" s="369"/>
      <c r="C443" s="978"/>
      <c r="D443" s="978"/>
      <c r="E443" s="978"/>
      <c r="F443" s="978"/>
      <c r="G443" s="978"/>
      <c r="H443" s="185"/>
      <c r="I443" s="185"/>
      <c r="J443" s="185"/>
      <c r="K443" s="185"/>
      <c r="L443" s="978"/>
      <c r="M443" s="185"/>
      <c r="N443" s="185"/>
      <c r="O443" s="185"/>
      <c r="P443" s="185"/>
      <c r="Q443" s="978"/>
      <c r="R443" s="185"/>
      <c r="S443" s="185"/>
      <c r="T443" s="185"/>
      <c r="U443" s="185"/>
      <c r="V443" s="978"/>
      <c r="W443" s="185"/>
      <c r="X443" s="185"/>
      <c r="Y443" s="185"/>
      <c r="Z443" s="185"/>
      <c r="AA443" s="978"/>
      <c r="AB443" s="185"/>
      <c r="AC443" s="185"/>
      <c r="AD443" s="185"/>
      <c r="AE443" s="185"/>
      <c r="AF443" s="978"/>
      <c r="AG443" s="185"/>
      <c r="AH443" s="185"/>
      <c r="AI443" s="185"/>
      <c r="AJ443" s="185"/>
      <c r="AK443" s="978"/>
      <c r="AL443" s="185"/>
      <c r="AM443" s="185"/>
      <c r="AN443" s="185"/>
      <c r="AO443" s="185"/>
      <c r="AP443" s="978"/>
      <c r="AQ443" s="185"/>
      <c r="AR443" s="185"/>
      <c r="AS443" s="185"/>
      <c r="AT443" s="185"/>
      <c r="AU443" s="978"/>
      <c r="AV443" s="185"/>
      <c r="AW443" s="185"/>
      <c r="AX443" s="185"/>
      <c r="AY443" s="185"/>
      <c r="AZ443" s="978"/>
      <c r="BA443" s="185"/>
      <c r="BB443" s="185"/>
      <c r="BC443" s="185"/>
      <c r="BD443" s="185"/>
      <c r="BE443" s="978"/>
      <c r="BF443" s="185"/>
      <c r="BG443" s="185"/>
      <c r="BH443" s="552"/>
      <c r="BI443" s="185"/>
      <c r="BJ443" s="978"/>
      <c r="BK443" s="185"/>
      <c r="BL443" s="185"/>
      <c r="BM443" s="185"/>
      <c r="BN443" s="185"/>
      <c r="BO443" s="978"/>
      <c r="BP443" s="978"/>
      <c r="BQ443" s="978"/>
      <c r="BR443" s="978"/>
      <c r="BS443" s="100"/>
    </row>
    <row r="444" spans="1:71" s="44" customFormat="1" ht="15">
      <c r="A444" s="121" t="s">
        <v>165</v>
      </c>
      <c r="B444" s="369"/>
      <c r="C444" s="978"/>
      <c r="D444" s="978"/>
      <c r="E444" s="978"/>
      <c r="F444" s="978"/>
      <c r="G444" s="978"/>
      <c r="H444" s="185"/>
      <c r="I444" s="185"/>
      <c r="J444" s="185"/>
      <c r="K444" s="185"/>
      <c r="L444" s="978"/>
      <c r="M444" s="185"/>
      <c r="N444" s="185"/>
      <c r="O444" s="185"/>
      <c r="P444" s="185"/>
      <c r="Q444" s="978"/>
      <c r="R444" s="185"/>
      <c r="S444" s="185"/>
      <c r="T444" s="185"/>
      <c r="U444" s="185"/>
      <c r="V444" s="978"/>
      <c r="W444" s="185"/>
      <c r="X444" s="185"/>
      <c r="Y444" s="185"/>
      <c r="Z444" s="185"/>
      <c r="AA444" s="978"/>
      <c r="AB444" s="185"/>
      <c r="AC444" s="185"/>
      <c r="AD444" s="185"/>
      <c r="AE444" s="185"/>
      <c r="AF444" s="978"/>
      <c r="AG444" s="185"/>
      <c r="AH444" s="185"/>
      <c r="AI444" s="185"/>
      <c r="AJ444" s="185"/>
      <c r="AK444" s="978"/>
      <c r="AL444" s="185"/>
      <c r="AM444" s="185"/>
      <c r="AN444" s="185"/>
      <c r="AO444" s="185"/>
      <c r="AP444" s="978"/>
      <c r="AQ444" s="185"/>
      <c r="AR444" s="185"/>
      <c r="AS444" s="185"/>
      <c r="AT444" s="185"/>
      <c r="AU444" s="978"/>
      <c r="AV444" s="185"/>
      <c r="AW444" s="185"/>
      <c r="AX444" s="185"/>
      <c r="AY444" s="185"/>
      <c r="AZ444" s="978"/>
      <c r="BA444" s="185"/>
      <c r="BB444" s="185"/>
      <c r="BC444" s="185"/>
      <c r="BD444" s="185"/>
      <c r="BE444" s="978"/>
      <c r="BF444" s="185"/>
      <c r="BG444" s="185"/>
      <c r="BH444" s="552"/>
      <c r="BI444" s="185"/>
      <c r="BJ444" s="978"/>
      <c r="BK444" s="185"/>
      <c r="BL444" s="185"/>
      <c r="BM444" s="185"/>
      <c r="BN444" s="185"/>
      <c r="BO444" s="978"/>
      <c r="BP444" s="978"/>
      <c r="BQ444" s="978"/>
      <c r="BR444" s="978"/>
      <c r="BS444" s="100"/>
    </row>
    <row r="445" spans="1:71" s="224" customFormat="1" ht="15">
      <c r="A445" s="424" t="s">
        <v>166</v>
      </c>
      <c r="B445" s="363"/>
      <c r="C445" s="1002">
        <v>66</v>
      </c>
      <c r="D445" s="1002">
        <v>66</v>
      </c>
      <c r="E445" s="1002">
        <v>66</v>
      </c>
      <c r="F445" s="1002">
        <v>67</v>
      </c>
      <c r="G445" s="1002">
        <v>67</v>
      </c>
      <c r="H445" s="908">
        <v>67</v>
      </c>
      <c r="I445" s="908">
        <v>67</v>
      </c>
      <c r="J445" s="908">
        <v>67</v>
      </c>
      <c r="K445" s="908">
        <v>67</v>
      </c>
      <c r="L445" s="1002">
        <v>67</v>
      </c>
      <c r="M445" s="908">
        <v>67</v>
      </c>
      <c r="N445" s="908">
        <v>67</v>
      </c>
      <c r="O445" s="908">
        <v>67</v>
      </c>
      <c r="P445" s="908">
        <v>67</v>
      </c>
      <c r="Q445" s="1002">
        <v>67</v>
      </c>
      <c r="R445" s="908">
        <v>67</v>
      </c>
      <c r="S445" s="908">
        <v>67</v>
      </c>
      <c r="T445" s="908">
        <v>67</v>
      </c>
      <c r="U445" s="908">
        <v>67</v>
      </c>
      <c r="V445" s="1002">
        <v>67</v>
      </c>
      <c r="W445" s="908">
        <v>67</v>
      </c>
      <c r="X445" s="908">
        <v>67</v>
      </c>
      <c r="Y445" s="908">
        <v>67</v>
      </c>
      <c r="Z445" s="426">
        <f t="shared" si="1103" ref="Z445:Z453">AA445</f>
        <v>67</v>
      </c>
      <c r="AA445" s="1002">
        <v>67</v>
      </c>
      <c r="AB445" s="908">
        <v>135</v>
      </c>
      <c r="AC445" s="908">
        <v>135</v>
      </c>
      <c r="AD445" s="908">
        <v>135</v>
      </c>
      <c r="AE445" s="426">
        <f t="shared" si="1104" ref="AE445:AE453">AF445</f>
        <v>135</v>
      </c>
      <c r="AF445" s="1002">
        <v>135</v>
      </c>
      <c r="AG445" s="908">
        <v>135</v>
      </c>
      <c r="AH445" s="908">
        <v>135</v>
      </c>
      <c r="AI445" s="908">
        <v>135</v>
      </c>
      <c r="AJ445" s="426">
        <f t="shared" si="1105" ref="AJ445:AJ453">AK445</f>
        <v>135</v>
      </c>
      <c r="AK445" s="1002">
        <v>135</v>
      </c>
      <c r="AL445" s="908">
        <v>135</v>
      </c>
      <c r="AM445" s="908">
        <v>135</v>
      </c>
      <c r="AN445" s="908">
        <v>135</v>
      </c>
      <c r="AO445" s="426">
        <f t="shared" si="1106" ref="AO445:AO453">AP445</f>
        <v>135</v>
      </c>
      <c r="AP445" s="1002">
        <v>135</v>
      </c>
      <c r="AQ445" s="908">
        <v>135</v>
      </c>
      <c r="AR445" s="908">
        <v>135</v>
      </c>
      <c r="AS445" s="908">
        <v>135</v>
      </c>
      <c r="AT445" s="426">
        <f t="shared" si="1107" ref="AT445:AT453">AU445</f>
        <v>135</v>
      </c>
      <c r="AU445" s="1002">
        <v>135</v>
      </c>
      <c r="AV445" s="908">
        <v>135</v>
      </c>
      <c r="AW445" s="908">
        <v>135</v>
      </c>
      <c r="AX445" s="908">
        <v>135</v>
      </c>
      <c r="AY445" s="426">
        <f t="shared" si="1108" ref="AY445:AY453">AZ445</f>
        <v>135</v>
      </c>
      <c r="AZ445" s="1002">
        <v>135</v>
      </c>
      <c r="BA445" s="908">
        <v>135</v>
      </c>
      <c r="BB445" s="908">
        <v>136</v>
      </c>
      <c r="BC445" s="908">
        <v>136</v>
      </c>
      <c r="BD445" s="426">
        <f t="shared" si="1109" ref="BD445:BD453">BE445</f>
        <v>136</v>
      </c>
      <c r="BE445" s="1002">
        <v>136</v>
      </c>
      <c r="BF445" s="908">
        <v>136</v>
      </c>
      <c r="BG445" s="908">
        <v>136</v>
      </c>
      <c r="BH445" s="909">
        <v>136</v>
      </c>
      <c r="BI445" s="176">
        <f t="shared" si="1110" ref="BI445:BR445">BH445</f>
        <v>136</v>
      </c>
      <c r="BJ445" s="971">
        <f t="shared" si="1110"/>
        <v>136</v>
      </c>
      <c r="BK445" s="176">
        <f t="shared" si="1110"/>
        <v>136</v>
      </c>
      <c r="BL445" s="176">
        <f t="shared" si="1110"/>
        <v>136</v>
      </c>
      <c r="BM445" s="176">
        <f t="shared" si="1110"/>
        <v>136</v>
      </c>
      <c r="BN445" s="176">
        <f t="shared" si="1110"/>
        <v>136</v>
      </c>
      <c r="BO445" s="971">
        <f t="shared" si="1110"/>
        <v>136</v>
      </c>
      <c r="BP445" s="971">
        <f t="shared" si="1110"/>
        <v>136</v>
      </c>
      <c r="BQ445" s="971">
        <f t="shared" si="1110"/>
        <v>136</v>
      </c>
      <c r="BR445" s="971">
        <f t="shared" si="1110"/>
        <v>136</v>
      </c>
      <c r="BS445" s="229"/>
    </row>
    <row r="446" spans="1:71" s="224" customFormat="1" ht="15">
      <c r="A446" s="424" t="s">
        <v>167</v>
      </c>
      <c r="B446" s="363"/>
      <c r="C446" s="1002">
        <v>1228</v>
      </c>
      <c r="D446" s="1002">
        <v>1320</v>
      </c>
      <c r="E446" s="1002">
        <v>1408</v>
      </c>
      <c r="F446" s="1002">
        <v>1505</v>
      </c>
      <c r="G446" s="1002">
        <v>1644</v>
      </c>
      <c r="H446" s="908">
        <v>1667</v>
      </c>
      <c r="I446" s="908">
        <v>1698</v>
      </c>
      <c r="J446" s="908">
        <v>1726</v>
      </c>
      <c r="K446" s="908">
        <v>1711</v>
      </c>
      <c r="L446" s="1002">
        <v>1711</v>
      </c>
      <c r="M446" s="908">
        <v>1745</v>
      </c>
      <c r="N446" s="908">
        <v>1772</v>
      </c>
      <c r="O446" s="908">
        <v>1807</v>
      </c>
      <c r="P446" s="908">
        <v>1828</v>
      </c>
      <c r="Q446" s="1002">
        <v>1828</v>
      </c>
      <c r="R446" s="908">
        <v>1866</v>
      </c>
      <c r="S446" s="908">
        <v>1905</v>
      </c>
      <c r="T446" s="908">
        <v>1936</v>
      </c>
      <c r="U446" s="908">
        <v>1976</v>
      </c>
      <c r="V446" s="1002">
        <v>1976</v>
      </c>
      <c r="W446" s="908">
        <v>2008</v>
      </c>
      <c r="X446" s="908">
        <v>2048</v>
      </c>
      <c r="Y446" s="908">
        <v>2077</v>
      </c>
      <c r="Z446" s="426">
        <f t="shared" si="1103"/>
        <v>2120</v>
      </c>
      <c r="AA446" s="1002">
        <v>2120</v>
      </c>
      <c r="AB446" s="908">
        <v>2089</v>
      </c>
      <c r="AC446" s="908">
        <v>2117</v>
      </c>
      <c r="AD446" s="908">
        <v>2151</v>
      </c>
      <c r="AE446" s="426">
        <f t="shared" si="1104"/>
        <v>2177</v>
      </c>
      <c r="AF446" s="1002">
        <v>2177</v>
      </c>
      <c r="AG446" s="908">
        <v>2208</v>
      </c>
      <c r="AH446" s="908">
        <v>2247</v>
      </c>
      <c r="AI446" s="908">
        <v>2277</v>
      </c>
      <c r="AJ446" s="426">
        <f t="shared" si="1105"/>
        <v>2313</v>
      </c>
      <c r="AK446" s="1002">
        <v>2313</v>
      </c>
      <c r="AL446" s="908">
        <v>2334</v>
      </c>
      <c r="AM446" s="908">
        <v>2358</v>
      </c>
      <c r="AN446" s="908">
        <v>2383</v>
      </c>
      <c r="AO446" s="426">
        <f t="shared" si="1106"/>
        <v>2410</v>
      </c>
      <c r="AP446" s="1002">
        <v>2410</v>
      </c>
      <c r="AQ446" s="908">
        <v>2438</v>
      </c>
      <c r="AR446" s="908">
        <v>2465</v>
      </c>
      <c r="AS446" s="908">
        <v>2491</v>
      </c>
      <c r="AT446" s="426">
        <f t="shared" si="1107"/>
        <v>2529</v>
      </c>
      <c r="AU446" s="1002">
        <v>2529</v>
      </c>
      <c r="AV446" s="908">
        <v>2560</v>
      </c>
      <c r="AW446" s="908">
        <v>2589</v>
      </c>
      <c r="AX446" s="908">
        <v>2615</v>
      </c>
      <c r="AY446" s="426">
        <f t="shared" si="1108"/>
        <v>2641</v>
      </c>
      <c r="AZ446" s="1002">
        <v>2641</v>
      </c>
      <c r="BA446" s="908">
        <v>2665</v>
      </c>
      <c r="BB446" s="908">
        <v>2697</v>
      </c>
      <c r="BC446" s="908">
        <v>2729</v>
      </c>
      <c r="BD446" s="426">
        <f t="shared" si="1109"/>
        <v>2771</v>
      </c>
      <c r="BE446" s="1002">
        <v>2771</v>
      </c>
      <c r="BF446" s="908">
        <v>2806</v>
      </c>
      <c r="BG446" s="908">
        <v>2835</v>
      </c>
      <c r="BH446" s="909">
        <v>2876</v>
      </c>
      <c r="BI446" s="176">
        <f t="shared" si="1111" ref="BI446:BR446">BH446</f>
        <v>2876</v>
      </c>
      <c r="BJ446" s="971">
        <f t="shared" si="1111"/>
        <v>2876</v>
      </c>
      <c r="BK446" s="176">
        <f t="shared" si="1111"/>
        <v>2876</v>
      </c>
      <c r="BL446" s="176">
        <f t="shared" si="1111"/>
        <v>2876</v>
      </c>
      <c r="BM446" s="176">
        <f t="shared" si="1111"/>
        <v>2876</v>
      </c>
      <c r="BN446" s="176">
        <f t="shared" si="1111"/>
        <v>2876</v>
      </c>
      <c r="BO446" s="971">
        <f t="shared" si="1111"/>
        <v>2876</v>
      </c>
      <c r="BP446" s="971">
        <f t="shared" si="1111"/>
        <v>2876</v>
      </c>
      <c r="BQ446" s="971">
        <f t="shared" si="1111"/>
        <v>2876</v>
      </c>
      <c r="BR446" s="971">
        <f t="shared" si="1111"/>
        <v>2876</v>
      </c>
      <c r="BS446" s="229"/>
    </row>
    <row r="447" spans="1:71" s="224" customFormat="1" ht="15">
      <c r="A447" s="424" t="s">
        <v>168</v>
      </c>
      <c r="B447" s="363"/>
      <c r="C447" s="1002">
        <v>12410</v>
      </c>
      <c r="D447" s="1002">
        <v>14194</v>
      </c>
      <c r="E447" s="1002">
        <v>15148</v>
      </c>
      <c r="F447" s="1002">
        <v>17387</v>
      </c>
      <c r="G447" s="1002">
        <v>19885</v>
      </c>
      <c r="H447" s="908">
        <v>20447</v>
      </c>
      <c r="I447" s="908">
        <v>21089</v>
      </c>
      <c r="J447" s="908">
        <v>21628</v>
      </c>
      <c r="K447" s="908">
        <v>22156</v>
      </c>
      <c r="L447" s="1002">
        <v>22156</v>
      </c>
      <c r="M447" s="908">
        <v>22648</v>
      </c>
      <c r="N447" s="908">
        <v>23052</v>
      </c>
      <c r="O447" s="908">
        <v>23451</v>
      </c>
      <c r="P447" s="908">
        <v>24007</v>
      </c>
      <c r="Q447" s="1002">
        <v>24007</v>
      </c>
      <c r="R447" s="908">
        <v>24565</v>
      </c>
      <c r="S447" s="908">
        <v>24944</v>
      </c>
      <c r="T447" s="908">
        <v>25404</v>
      </c>
      <c r="U447" s="908">
        <v>25981</v>
      </c>
      <c r="V447" s="1002">
        <v>25981</v>
      </c>
      <c r="W447" s="908">
        <v>26400</v>
      </c>
      <c r="X447" s="908">
        <v>26942</v>
      </c>
      <c r="Y447" s="908">
        <v>27489</v>
      </c>
      <c r="Z447" s="426">
        <f t="shared" si="1103"/>
        <v>29895</v>
      </c>
      <c r="AA447" s="1002">
        <v>29895</v>
      </c>
      <c r="AB447" s="908">
        <v>30183</v>
      </c>
      <c r="AC447" s="908">
        <v>30809</v>
      </c>
      <c r="AD447" s="908">
        <v>31461</v>
      </c>
      <c r="AE447" s="426">
        <f t="shared" si="1104"/>
        <v>31788</v>
      </c>
      <c r="AF447" s="1002">
        <v>31788</v>
      </c>
      <c r="AG447" s="908">
        <v>32513</v>
      </c>
      <c r="AH447" s="908">
        <v>33130</v>
      </c>
      <c r="AI447" s="908">
        <v>33710</v>
      </c>
      <c r="AJ447" s="426">
        <f t="shared" si="1105"/>
        <v>34291</v>
      </c>
      <c r="AK447" s="1002">
        <v>34291</v>
      </c>
      <c r="AL447" s="908">
        <v>34599</v>
      </c>
      <c r="AM447" s="908">
        <v>35204</v>
      </c>
      <c r="AN447" s="908">
        <v>37460</v>
      </c>
      <c r="AO447" s="426">
        <f t="shared" si="1106"/>
        <v>37984</v>
      </c>
      <c r="AP447" s="1002">
        <v>37984</v>
      </c>
      <c r="AQ447" s="908">
        <v>39277</v>
      </c>
      <c r="AR447" s="908">
        <v>40162</v>
      </c>
      <c r="AS447" s="908">
        <v>40830</v>
      </c>
      <c r="AT447" s="426">
        <f t="shared" si="1107"/>
        <v>41381</v>
      </c>
      <c r="AU447" s="1002">
        <v>41381</v>
      </c>
      <c r="AV447" s="908">
        <v>42413</v>
      </c>
      <c r="AW447" s="908">
        <v>43547</v>
      </c>
      <c r="AX447" s="908">
        <v>44892</v>
      </c>
      <c r="AY447" s="426">
        <f t="shared" si="1108"/>
        <v>44568</v>
      </c>
      <c r="AZ447" s="1002">
        <v>44568</v>
      </c>
      <c r="BA447" s="908">
        <v>45555</v>
      </c>
      <c r="BB447" s="908">
        <v>46937</v>
      </c>
      <c r="BC447" s="908">
        <v>48257</v>
      </c>
      <c r="BD447" s="426">
        <f t="shared" si="1109"/>
        <v>47993</v>
      </c>
      <c r="BE447" s="1002">
        <v>47993</v>
      </c>
      <c r="BF447" s="908">
        <v>49872</v>
      </c>
      <c r="BG447" s="908">
        <v>51345</v>
      </c>
      <c r="BH447" s="909">
        <v>50972</v>
      </c>
      <c r="BI447" s="176">
        <f ca="1">BH447+BI365+BI399</f>
        <v>51540.065464017047</v>
      </c>
      <c r="BJ447" s="971">
        <f ca="1" t="shared" si="1112" ref="BJ447:BJ453">BI447</f>
        <v>51540.065464017047</v>
      </c>
      <c r="BK447" s="176">
        <f ca="1">BJ447+BK365+BK399</f>
        <v>52232.37257529881</v>
      </c>
      <c r="BL447" s="176">
        <f ca="1">BK447+BL365+BL399</f>
        <v>52928.479534593054</v>
      </c>
      <c r="BM447" s="176">
        <f ca="1">BL447+BM365+BM399</f>
        <v>53600.60150294959</v>
      </c>
      <c r="BN447" s="176">
        <f ca="1">BM447+BN365+BN399</f>
        <v>54366.840092881961</v>
      </c>
      <c r="BO447" s="971">
        <f ca="1" t="shared" si="1113" ref="BO447:BO453">BN447</f>
        <v>54366.840092881961</v>
      </c>
      <c r="BP447" s="971">
        <f ca="1">BO447+BP365+BP399</f>
        <v>57434.981800370406</v>
      </c>
      <c r="BQ447" s="971">
        <f ca="1">BP447+BQ365+BQ399</f>
        <v>60449.800507278022</v>
      </c>
      <c r="BR447" s="971">
        <f ca="1">BQ447+BR365+BR399</f>
        <v>62453.97632860759</v>
      </c>
      <c r="BS447" s="229"/>
    </row>
    <row r="448" spans="1:71" s="224" customFormat="1" ht="15">
      <c r="A448" s="75" t="s">
        <v>169</v>
      </c>
      <c r="B448" s="363"/>
      <c r="C448" s="1002">
        <v>776</v>
      </c>
      <c r="D448" s="1002">
        <v>926</v>
      </c>
      <c r="E448" s="1002">
        <v>984</v>
      </c>
      <c r="F448" s="1002">
        <v>333</v>
      </c>
      <c r="G448" s="1002">
        <v>-1505</v>
      </c>
      <c r="H448" s="908">
        <v>-1542</v>
      </c>
      <c r="I448" s="908">
        <v>-1216</v>
      </c>
      <c r="J448" s="908">
        <v>-1805</v>
      </c>
      <c r="K448" s="908">
        <v>-2541</v>
      </c>
      <c r="L448" s="1002">
        <v>-2541</v>
      </c>
      <c r="M448" s="908">
        <v>-2540</v>
      </c>
      <c r="N448" s="908">
        <v>-2725</v>
      </c>
      <c r="O448" s="908">
        <v>-2533</v>
      </c>
      <c r="P448" s="908">
        <v>-2196</v>
      </c>
      <c r="Q448" s="1002">
        <v>-2196</v>
      </c>
      <c r="R448" s="908">
        <v>-1584</v>
      </c>
      <c r="S448" s="908">
        <v>-847</v>
      </c>
      <c r="T448" s="908">
        <v>-594</v>
      </c>
      <c r="U448" s="908">
        <v>-1983</v>
      </c>
      <c r="V448" s="1002">
        <v>-1983</v>
      </c>
      <c r="W448" s="908">
        <v>-1650</v>
      </c>
      <c r="X448" s="908">
        <v>-1580</v>
      </c>
      <c r="Y448" s="908">
        <v>-1715</v>
      </c>
      <c r="Z448" s="426">
        <f t="shared" si="1103"/>
        <v>-1750</v>
      </c>
      <c r="AA448" s="1002">
        <v>-1750</v>
      </c>
      <c r="AB448" s="908">
        <v>-1303</v>
      </c>
      <c r="AC448" s="908">
        <v>-1766</v>
      </c>
      <c r="AD448" s="908">
        <v>-2113</v>
      </c>
      <c r="AE448" s="426">
        <f t="shared" si="1104"/>
        <v>-1847</v>
      </c>
      <c r="AF448" s="1002">
        <v>-1847</v>
      </c>
      <c r="AG448" s="908">
        <v>-1848</v>
      </c>
      <c r="AH448" s="908">
        <v>-1455</v>
      </c>
      <c r="AI448" s="908">
        <v>-1479</v>
      </c>
      <c r="AJ448" s="426">
        <f t="shared" si="1105"/>
        <v>-1623</v>
      </c>
      <c r="AK448" s="1002">
        <v>-1623</v>
      </c>
      <c r="AL448" s="908">
        <v>-1543</v>
      </c>
      <c r="AM448" s="908">
        <v>-1469</v>
      </c>
      <c r="AN448" s="908">
        <v>-1290</v>
      </c>
      <c r="AO448" s="426">
        <f t="shared" si="1106"/>
        <v>-1109</v>
      </c>
      <c r="AP448" s="1002">
        <v>-1109</v>
      </c>
      <c r="AQ448" s="908">
        <v>-1674</v>
      </c>
      <c r="AR448" s="908">
        <v>-1661</v>
      </c>
      <c r="AS448" s="908">
        <v>-1760</v>
      </c>
      <c r="AT448" s="426">
        <f t="shared" si="1107"/>
        <v>-2013</v>
      </c>
      <c r="AU448" s="1002">
        <v>-2013</v>
      </c>
      <c r="AV448" s="908">
        <v>-2482</v>
      </c>
      <c r="AW448" s="908">
        <v>-3289</v>
      </c>
      <c r="AX448" s="908">
        <v>-4455</v>
      </c>
      <c r="AY448" s="426">
        <f t="shared" si="1108"/>
        <v>-3640</v>
      </c>
      <c r="AZ448" s="1002">
        <v>-3640</v>
      </c>
      <c r="BA448" s="908">
        <v>-3618</v>
      </c>
      <c r="BB448" s="908">
        <v>-4249</v>
      </c>
      <c r="BC448" s="908">
        <v>-4484</v>
      </c>
      <c r="BD448" s="426">
        <f t="shared" si="1109"/>
        <v>-4069</v>
      </c>
      <c r="BE448" s="1002">
        <v>-4069</v>
      </c>
      <c r="BF448" s="908">
        <v>-4666</v>
      </c>
      <c r="BG448" s="908">
        <v>-5091</v>
      </c>
      <c r="BH448" s="909">
        <v>-4139</v>
      </c>
      <c r="BI448" s="176">
        <f t="shared" si="1114" ref="BI448:BI452">BH448</f>
        <v>-4139</v>
      </c>
      <c r="BJ448" s="971">
        <f t="shared" si="1112"/>
        <v>-4139</v>
      </c>
      <c r="BK448" s="176">
        <f t="shared" si="1115" ref="BK448:BN452">BJ448</f>
        <v>-4139</v>
      </c>
      <c r="BL448" s="176">
        <f t="shared" si="1115"/>
        <v>-4139</v>
      </c>
      <c r="BM448" s="176">
        <f t="shared" si="1115"/>
        <v>-4139</v>
      </c>
      <c r="BN448" s="176">
        <f t="shared" si="1115"/>
        <v>-4139</v>
      </c>
      <c r="BO448" s="971">
        <f t="shared" si="1113"/>
        <v>-4139</v>
      </c>
      <c r="BP448" s="971">
        <f t="shared" si="1116" ref="BP448:BR452">BO448</f>
        <v>-4139</v>
      </c>
      <c r="BQ448" s="971">
        <f t="shared" si="1116"/>
        <v>-4139</v>
      </c>
      <c r="BR448" s="971">
        <f t="shared" si="1116"/>
        <v>-4139</v>
      </c>
      <c r="BS448" s="229"/>
    </row>
    <row r="449" spans="1:71" s="224" customFormat="1" ht="15">
      <c r="A449" s="75" t="s">
        <v>170</v>
      </c>
      <c r="B449" s="363"/>
      <c r="C449" s="1002">
        <v>-622</v>
      </c>
      <c r="D449" s="1002">
        <v>36</v>
      </c>
      <c r="E449" s="1003"/>
      <c r="F449" s="1003"/>
      <c r="G449" s="1003"/>
      <c r="H449" s="139"/>
      <c r="I449" s="139"/>
      <c r="J449" s="139"/>
      <c r="K449" s="908">
        <v>0</v>
      </c>
      <c r="L449" s="1003"/>
      <c r="M449" s="139"/>
      <c r="N449" s="139"/>
      <c r="O449" s="139"/>
      <c r="P449" s="908">
        <v>0</v>
      </c>
      <c r="Q449" s="1003"/>
      <c r="R449" s="139"/>
      <c r="S449" s="139"/>
      <c r="T449" s="139"/>
      <c r="U449" s="908">
        <v>0</v>
      </c>
      <c r="V449" s="1003"/>
      <c r="W449" s="139"/>
      <c r="X449" s="139"/>
      <c r="Y449" s="139"/>
      <c r="Z449" s="426">
        <f t="shared" si="1103"/>
        <v>0</v>
      </c>
      <c r="AA449" s="1003"/>
      <c r="AB449" s="139"/>
      <c r="AC449" s="139"/>
      <c r="AD449" s="139"/>
      <c r="AE449" s="426">
        <f t="shared" si="1104"/>
        <v>0</v>
      </c>
      <c r="AF449" s="1003"/>
      <c r="AG449" s="139"/>
      <c r="AH449" s="139"/>
      <c r="AI449" s="139"/>
      <c r="AJ449" s="426">
        <f t="shared" si="1105"/>
        <v>0</v>
      </c>
      <c r="AK449" s="1003"/>
      <c r="AL449" s="139"/>
      <c r="AM449" s="139"/>
      <c r="AN449" s="139"/>
      <c r="AO449" s="426">
        <f t="shared" si="1106"/>
        <v>0</v>
      </c>
      <c r="AP449" s="1003"/>
      <c r="AQ449" s="139"/>
      <c r="AR449" s="139"/>
      <c r="AS449" s="139"/>
      <c r="AT449" s="426">
        <f t="shared" si="1107"/>
        <v>0</v>
      </c>
      <c r="AU449" s="1003"/>
      <c r="AV449" s="139"/>
      <c r="AW449" s="139"/>
      <c r="AX449" s="139"/>
      <c r="AY449" s="426">
        <f t="shared" si="1108"/>
        <v>0</v>
      </c>
      <c r="AZ449" s="1003"/>
      <c r="BA449" s="908">
        <v>-4894</v>
      </c>
      <c r="BB449" s="908">
        <v>-5059</v>
      </c>
      <c r="BC449" s="908">
        <v>-866</v>
      </c>
      <c r="BD449" s="426">
        <f t="shared" si="1109"/>
        <v>-2560</v>
      </c>
      <c r="BE449" s="1002">
        <v>-2560</v>
      </c>
      <c r="BF449" s="908">
        <v>-1495</v>
      </c>
      <c r="BG449" s="908">
        <v>1425</v>
      </c>
      <c r="BH449" s="909">
        <v>-67</v>
      </c>
      <c r="BI449" s="176">
        <f t="shared" si="1114"/>
        <v>-67</v>
      </c>
      <c r="BJ449" s="971">
        <f t="shared" si="1112"/>
        <v>-67</v>
      </c>
      <c r="BK449" s="176">
        <f t="shared" si="1115"/>
        <v>-67</v>
      </c>
      <c r="BL449" s="176">
        <f t="shared" si="1115"/>
        <v>-67</v>
      </c>
      <c r="BM449" s="176">
        <f t="shared" si="1115"/>
        <v>-67</v>
      </c>
      <c r="BN449" s="176">
        <f t="shared" si="1115"/>
        <v>-67</v>
      </c>
      <c r="BO449" s="971">
        <f t="shared" si="1113"/>
        <v>-67</v>
      </c>
      <c r="BP449" s="971">
        <f t="shared" si="1116"/>
        <v>-67</v>
      </c>
      <c r="BQ449" s="971">
        <f t="shared" si="1116"/>
        <v>-67</v>
      </c>
      <c r="BR449" s="971">
        <f t="shared" si="1116"/>
        <v>-67</v>
      </c>
      <c r="BS449" s="229"/>
    </row>
    <row r="450" spans="1:71" s="224" customFormat="1" ht="15">
      <c r="A450" s="75" t="s">
        <v>171</v>
      </c>
      <c r="B450" s="363"/>
      <c r="C450" s="1002">
        <v>-16</v>
      </c>
      <c r="D450" s="1002">
        <v>-3</v>
      </c>
      <c r="E450" s="1002">
        <v>1143</v>
      </c>
      <c r="F450" s="1002">
        <v>2570</v>
      </c>
      <c r="G450" s="1002">
        <v>1035</v>
      </c>
      <c r="H450" s="908">
        <v>1944</v>
      </c>
      <c r="I450" s="908">
        <v>2915</v>
      </c>
      <c r="J450" s="908">
        <v>3402</v>
      </c>
      <c r="K450" s="908">
        <v>4672</v>
      </c>
      <c r="L450" s="1002">
        <v>4672</v>
      </c>
      <c r="M450" s="908">
        <v>5026</v>
      </c>
      <c r="N450" s="908">
        <v>3384</v>
      </c>
      <c r="O450" s="908">
        <v>3214</v>
      </c>
      <c r="P450" s="908">
        <v>2986</v>
      </c>
      <c r="Q450" s="1002">
        <v>2986</v>
      </c>
      <c r="R450" s="908">
        <v>4684</v>
      </c>
      <c r="S450" s="908">
        <v>6441</v>
      </c>
      <c r="T450" s="908">
        <v>6120</v>
      </c>
      <c r="U450" s="908">
        <v>4805</v>
      </c>
      <c r="V450" s="1002">
        <v>4805</v>
      </c>
      <c r="W450" s="908">
        <v>4474</v>
      </c>
      <c r="X450" s="908">
        <v>5173</v>
      </c>
      <c r="Y450" s="908">
        <v>5437</v>
      </c>
      <c r="Z450" s="426">
        <f t="shared" si="1103"/>
        <v>5964</v>
      </c>
      <c r="AA450" s="1002">
        <v>5964</v>
      </c>
      <c r="AB450" s="908">
        <v>5206</v>
      </c>
      <c r="AC450" s="908">
        <v>4836</v>
      </c>
      <c r="AD450" s="908">
        <v>4240</v>
      </c>
      <c r="AE450" s="426">
        <f t="shared" si="1104"/>
        <v>4234</v>
      </c>
      <c r="AF450" s="1002">
        <v>4234</v>
      </c>
      <c r="AG450" s="908">
        <v>6561</v>
      </c>
      <c r="AH450" s="908">
        <v>8055</v>
      </c>
      <c r="AI450" s="908">
        <v>8970</v>
      </c>
      <c r="AJ450" s="426">
        <f t="shared" si="1105"/>
        <v>8548</v>
      </c>
      <c r="AK450" s="1002">
        <v>8548</v>
      </c>
      <c r="AL450" s="908">
        <v>6043</v>
      </c>
      <c r="AM450" s="908">
        <v>8532</v>
      </c>
      <c r="AN450" s="908">
        <v>9520</v>
      </c>
      <c r="AO450" s="426">
        <f t="shared" si="1106"/>
        <v>10361</v>
      </c>
      <c r="AP450" s="1002">
        <v>10361</v>
      </c>
      <c r="AQ450" s="908">
        <v>8794</v>
      </c>
      <c r="AR450" s="908">
        <v>9992</v>
      </c>
      <c r="AS450" s="908">
        <v>9731</v>
      </c>
      <c r="AT450" s="426">
        <f t="shared" si="1107"/>
        <v>9602</v>
      </c>
      <c r="AU450" s="1002">
        <v>9602</v>
      </c>
      <c r="AV450" s="908">
        <v>5787</v>
      </c>
      <c r="AW450" s="908">
        <v>2930</v>
      </c>
      <c r="AX450" s="908">
        <v>1131</v>
      </c>
      <c r="AY450" s="426">
        <f t="shared" si="1108"/>
        <v>-702</v>
      </c>
      <c r="AZ450" s="1002">
        <v>-702</v>
      </c>
      <c r="BA450" s="908">
        <v>1289</v>
      </c>
      <c r="BB450" s="908">
        <v>1978</v>
      </c>
      <c r="BC450" s="908">
        <v>-403</v>
      </c>
      <c r="BD450" s="426">
        <f t="shared" si="1109"/>
        <v>1139</v>
      </c>
      <c r="BE450" s="1002">
        <v>1139</v>
      </c>
      <c r="BF450" s="908">
        <v>1092</v>
      </c>
      <c r="BG450" s="908">
        <v>401</v>
      </c>
      <c r="BH450" s="909">
        <v>557</v>
      </c>
      <c r="BI450" s="176">
        <f t="shared" si="1114"/>
        <v>557</v>
      </c>
      <c r="BJ450" s="971">
        <f t="shared" si="1112"/>
        <v>557</v>
      </c>
      <c r="BK450" s="176">
        <f t="shared" si="1115"/>
        <v>557</v>
      </c>
      <c r="BL450" s="176">
        <f t="shared" si="1115"/>
        <v>557</v>
      </c>
      <c r="BM450" s="176">
        <f t="shared" si="1115"/>
        <v>557</v>
      </c>
      <c r="BN450" s="176">
        <f t="shared" si="1115"/>
        <v>557</v>
      </c>
      <c r="BO450" s="971">
        <f t="shared" si="1113"/>
        <v>557</v>
      </c>
      <c r="BP450" s="971">
        <f t="shared" si="1116"/>
        <v>557</v>
      </c>
      <c r="BQ450" s="971">
        <f t="shared" si="1116"/>
        <v>557</v>
      </c>
      <c r="BR450" s="971">
        <f t="shared" si="1116"/>
        <v>557</v>
      </c>
      <c r="BS450" s="229"/>
    </row>
    <row r="451" spans="1:71" s="224" customFormat="1" ht="15">
      <c r="A451" s="75" t="s">
        <v>172</v>
      </c>
      <c r="B451" s="363"/>
      <c r="C451" s="1002">
        <v>-2</v>
      </c>
      <c r="D451" s="1002">
        <v>31</v>
      </c>
      <c r="E451" s="1002">
        <v>9</v>
      </c>
      <c r="F451" s="1002">
        <v>-5</v>
      </c>
      <c r="G451" s="1002">
        <v>-12</v>
      </c>
      <c r="H451" s="908">
        <v>-13</v>
      </c>
      <c r="I451" s="908">
        <v>-11</v>
      </c>
      <c r="J451" s="908">
        <v>-17</v>
      </c>
      <c r="K451" s="908">
        <v>-26</v>
      </c>
      <c r="L451" s="1002">
        <v>-26</v>
      </c>
      <c r="M451" s="908">
        <v>-28</v>
      </c>
      <c r="N451" s="908">
        <v>-27</v>
      </c>
      <c r="O451" s="908">
        <v>-28</v>
      </c>
      <c r="P451" s="908">
        <v>-26</v>
      </c>
      <c r="Q451" s="1002">
        <v>-26</v>
      </c>
      <c r="R451" s="908">
        <v>-24</v>
      </c>
      <c r="S451" s="908">
        <v>-19</v>
      </c>
      <c r="T451" s="908">
        <v>-19</v>
      </c>
      <c r="U451" s="908">
        <v>-24</v>
      </c>
      <c r="V451" s="1002">
        <v>-24</v>
      </c>
      <c r="W451" s="908">
        <v>-22</v>
      </c>
      <c r="X451" s="908">
        <v>-23</v>
      </c>
      <c r="Y451" s="908">
        <v>-23</v>
      </c>
      <c r="Z451" s="426">
        <f t="shared" si="1103"/>
        <v>-23</v>
      </c>
      <c r="AA451" s="1002">
        <v>-23</v>
      </c>
      <c r="AB451" s="908">
        <v>-21</v>
      </c>
      <c r="AC451" s="908">
        <v>-23</v>
      </c>
      <c r="AD451" s="908">
        <v>-24</v>
      </c>
      <c r="AE451" s="426">
        <f t="shared" si="1104"/>
        <v>-24</v>
      </c>
      <c r="AF451" s="1002">
        <v>-24</v>
      </c>
      <c r="AG451" s="908">
        <v>-26</v>
      </c>
      <c r="AH451" s="908">
        <v>-27</v>
      </c>
      <c r="AI451" s="908">
        <v>-33</v>
      </c>
      <c r="AJ451" s="426">
        <f t="shared" si="1105"/>
        <v>-33</v>
      </c>
      <c r="AK451" s="1002">
        <v>-33</v>
      </c>
      <c r="AL451" s="908">
        <v>-35</v>
      </c>
      <c r="AM451" s="908">
        <v>-36</v>
      </c>
      <c r="AN451" s="908">
        <v>-35</v>
      </c>
      <c r="AO451" s="426">
        <f t="shared" si="1106"/>
        <v>-34</v>
      </c>
      <c r="AP451" s="1002">
        <v>-34</v>
      </c>
      <c r="AQ451" s="908">
        <v>-33</v>
      </c>
      <c r="AR451" s="908">
        <v>-33</v>
      </c>
      <c r="AS451" s="908">
        <v>-31</v>
      </c>
      <c r="AT451" s="426">
        <f t="shared" si="1107"/>
        <v>-30</v>
      </c>
      <c r="AU451" s="1002">
        <v>-30</v>
      </c>
      <c r="AV451" s="908">
        <v>-29</v>
      </c>
      <c r="AW451" s="908">
        <v>-29</v>
      </c>
      <c r="AX451" s="908">
        <v>-29</v>
      </c>
      <c r="AY451" s="426">
        <f t="shared" si="1108"/>
        <v>-27</v>
      </c>
      <c r="AZ451" s="1002">
        <v>-27</v>
      </c>
      <c r="BA451" s="908">
        <v>-26</v>
      </c>
      <c r="BB451" s="908">
        <v>-25</v>
      </c>
      <c r="BC451" s="908">
        <v>-24</v>
      </c>
      <c r="BD451" s="426">
        <f t="shared" si="1109"/>
        <v>-22</v>
      </c>
      <c r="BE451" s="1002">
        <v>-22</v>
      </c>
      <c r="BF451" s="908">
        <v>-26</v>
      </c>
      <c r="BG451" s="908">
        <v>-22</v>
      </c>
      <c r="BH451" s="909">
        <v>-20</v>
      </c>
      <c r="BI451" s="176">
        <f t="shared" si="1114"/>
        <v>-20</v>
      </c>
      <c r="BJ451" s="971">
        <f t="shared" si="1112"/>
        <v>-20</v>
      </c>
      <c r="BK451" s="176">
        <f t="shared" si="1115"/>
        <v>-20</v>
      </c>
      <c r="BL451" s="176">
        <f t="shared" si="1115"/>
        <v>-20</v>
      </c>
      <c r="BM451" s="176">
        <f t="shared" si="1115"/>
        <v>-20</v>
      </c>
      <c r="BN451" s="176">
        <f t="shared" si="1115"/>
        <v>-20</v>
      </c>
      <c r="BO451" s="971">
        <f t="shared" si="1113"/>
        <v>-20</v>
      </c>
      <c r="BP451" s="971">
        <f t="shared" si="1116"/>
        <v>-20</v>
      </c>
      <c r="BQ451" s="971">
        <f t="shared" si="1116"/>
        <v>-20</v>
      </c>
      <c r="BR451" s="971">
        <f t="shared" si="1116"/>
        <v>-20</v>
      </c>
      <c r="BS451" s="229"/>
    </row>
    <row r="452" spans="1:71" s="224" customFormat="1" ht="15">
      <c r="A452" s="75" t="s">
        <v>173</v>
      </c>
      <c r="B452" s="363"/>
      <c r="C452" s="1002">
        <v>-107</v>
      </c>
      <c r="D452" s="1002">
        <v>-128</v>
      </c>
      <c r="E452" s="1002">
        <v>-171</v>
      </c>
      <c r="F452" s="1002">
        <v>-183</v>
      </c>
      <c r="G452" s="1002">
        <v>-81</v>
      </c>
      <c r="H452" s="908">
        <v>-82</v>
      </c>
      <c r="I452" s="908">
        <v>-82</v>
      </c>
      <c r="J452" s="908">
        <v>-80</v>
      </c>
      <c r="K452" s="908">
        <v>-126</v>
      </c>
      <c r="L452" s="1002">
        <v>-126</v>
      </c>
      <c r="M452" s="908">
        <v>-126</v>
      </c>
      <c r="N452" s="908">
        <v>-125</v>
      </c>
      <c r="O452" s="908">
        <v>-125</v>
      </c>
      <c r="P452" s="908">
        <v>-139</v>
      </c>
      <c r="Q452" s="1002">
        <v>-139</v>
      </c>
      <c r="R452" s="908">
        <v>-140</v>
      </c>
      <c r="S452" s="908">
        <v>-143</v>
      </c>
      <c r="T452" s="908">
        <v>-143</v>
      </c>
      <c r="U452" s="908">
        <v>-168</v>
      </c>
      <c r="V452" s="1002">
        <v>-168</v>
      </c>
      <c r="W452" s="908">
        <v>-170</v>
      </c>
      <c r="X452" s="908">
        <v>-169</v>
      </c>
      <c r="Y452" s="908">
        <v>-168</v>
      </c>
      <c r="Z452" s="426">
        <f t="shared" si="1103"/>
        <v>-163</v>
      </c>
      <c r="AA452" s="1002">
        <v>-163</v>
      </c>
      <c r="AB452" s="908">
        <v>-197</v>
      </c>
      <c r="AC452" s="908">
        <v>-195</v>
      </c>
      <c r="AD452" s="908">
        <v>-194</v>
      </c>
      <c r="AE452" s="426">
        <f t="shared" si="1104"/>
        <v>-212</v>
      </c>
      <c r="AF452" s="1002">
        <v>-212</v>
      </c>
      <c r="AG452" s="908">
        <v>-206</v>
      </c>
      <c r="AH452" s="908">
        <v>-209</v>
      </c>
      <c r="AI452" s="908">
        <v>-207</v>
      </c>
      <c r="AJ452" s="426">
        <f t="shared" si="1105"/>
        <v>-277</v>
      </c>
      <c r="AK452" s="1002">
        <v>-277</v>
      </c>
      <c r="AL452" s="908">
        <v>-277</v>
      </c>
      <c r="AM452" s="908">
        <v>-277</v>
      </c>
      <c r="AN452" s="908">
        <v>-278</v>
      </c>
      <c r="AO452" s="426">
        <f t="shared" si="1106"/>
        <v>-284</v>
      </c>
      <c r="AP452" s="1002">
        <v>-284</v>
      </c>
      <c r="AQ452" s="908">
        <v>-280</v>
      </c>
      <c r="AR452" s="908">
        <v>-279</v>
      </c>
      <c r="AS452" s="908">
        <v>-278</v>
      </c>
      <c r="AT452" s="426">
        <f t="shared" si="1107"/>
        <v>-166</v>
      </c>
      <c r="AU452" s="1002">
        <v>-166</v>
      </c>
      <c r="AV452" s="908">
        <v>-163</v>
      </c>
      <c r="AW452" s="908">
        <v>-160</v>
      </c>
      <c r="AX452" s="908">
        <v>-158</v>
      </c>
      <c r="AY452" s="426">
        <f t="shared" si="1108"/>
        <v>-36</v>
      </c>
      <c r="AZ452" s="1002">
        <v>-36</v>
      </c>
      <c r="BA452" s="908">
        <v>-29</v>
      </c>
      <c r="BB452" s="908">
        <v>17</v>
      </c>
      <c r="BC452" s="908">
        <v>17</v>
      </c>
      <c r="BD452" s="426">
        <f t="shared" si="1109"/>
        <v>-8</v>
      </c>
      <c r="BE452" s="1002">
        <v>-8</v>
      </c>
      <c r="BF452" s="908">
        <v>-7</v>
      </c>
      <c r="BG452" s="908">
        <v>-5</v>
      </c>
      <c r="BH452" s="909">
        <v>-8</v>
      </c>
      <c r="BI452" s="176">
        <f t="shared" si="1114"/>
        <v>-8</v>
      </c>
      <c r="BJ452" s="971">
        <f t="shared" si="1112"/>
        <v>-8</v>
      </c>
      <c r="BK452" s="176">
        <f t="shared" si="1115"/>
        <v>-8</v>
      </c>
      <c r="BL452" s="176">
        <f t="shared" si="1115"/>
        <v>-8</v>
      </c>
      <c r="BM452" s="176">
        <f t="shared" si="1115"/>
        <v>-8</v>
      </c>
      <c r="BN452" s="176">
        <f t="shared" si="1115"/>
        <v>-8</v>
      </c>
      <c r="BO452" s="971">
        <f t="shared" si="1113"/>
        <v>-8</v>
      </c>
      <c r="BP452" s="971">
        <f t="shared" si="1116"/>
        <v>-8</v>
      </c>
      <c r="BQ452" s="971">
        <f t="shared" si="1116"/>
        <v>-8</v>
      </c>
      <c r="BR452" s="971">
        <f t="shared" si="1116"/>
        <v>-8</v>
      </c>
      <c r="BS452" s="229"/>
    </row>
    <row r="453" spans="1:71" s="224" customFormat="1" ht="15">
      <c r="A453" s="607" t="s">
        <v>174</v>
      </c>
      <c r="B453" s="365"/>
      <c r="C453" s="1004">
        <v>-5316</v>
      </c>
      <c r="D453" s="1004">
        <v>-5386</v>
      </c>
      <c r="E453" s="1004">
        <v>-5641</v>
      </c>
      <c r="F453" s="1004">
        <v>-5696</v>
      </c>
      <c r="G453" s="1004">
        <v>-6413</v>
      </c>
      <c r="H453" s="911">
        <v>-6812</v>
      </c>
      <c r="I453" s="911">
        <v>-6902</v>
      </c>
      <c r="J453" s="911">
        <v>-7068</v>
      </c>
      <c r="K453" s="911">
        <v>-7566</v>
      </c>
      <c r="L453" s="1004">
        <v>-7566</v>
      </c>
      <c r="M453" s="911">
        <v>-8155</v>
      </c>
      <c r="N453" s="911">
        <v>-8380</v>
      </c>
      <c r="O453" s="911">
        <v>-8598</v>
      </c>
      <c r="P453" s="911">
        <v>-8819</v>
      </c>
      <c r="Q453" s="1004">
        <v>-8819</v>
      </c>
      <c r="R453" s="911">
        <v>-9413</v>
      </c>
      <c r="S453" s="911">
        <v>-9798</v>
      </c>
      <c r="T453" s="911">
        <v>-9986</v>
      </c>
      <c r="U453" s="911">
        <v>-10172</v>
      </c>
      <c r="V453" s="1004">
        <v>-10172</v>
      </c>
      <c r="W453" s="911">
        <v>-10767</v>
      </c>
      <c r="X453" s="911">
        <v>-10955</v>
      </c>
      <c r="Y453" s="911">
        <v>-11187</v>
      </c>
      <c r="Z453" s="609">
        <f t="shared" si="1103"/>
        <v>-11512</v>
      </c>
      <c r="AA453" s="1004">
        <v>-11512</v>
      </c>
      <c r="AB453" s="911">
        <v>-11805</v>
      </c>
      <c r="AC453" s="911">
        <v>-12113</v>
      </c>
      <c r="AD453" s="911">
        <v>-12422</v>
      </c>
      <c r="AE453" s="609">
        <f t="shared" si="1104"/>
        <v>-12789</v>
      </c>
      <c r="AF453" s="1004">
        <v>-12789</v>
      </c>
      <c r="AG453" s="911">
        <v>-13288</v>
      </c>
      <c r="AH453" s="911">
        <v>-13635</v>
      </c>
      <c r="AI453" s="911">
        <v>-13935</v>
      </c>
      <c r="AJ453" s="609">
        <f t="shared" si="1105"/>
        <v>-14395</v>
      </c>
      <c r="AK453" s="1004">
        <v>-14395</v>
      </c>
      <c r="AL453" s="911">
        <v>-14854</v>
      </c>
      <c r="AM453" s="911">
        <v>-15027</v>
      </c>
      <c r="AN453" s="911">
        <v>-15416</v>
      </c>
      <c r="AO453" s="609">
        <f t="shared" si="1106"/>
        <v>-15904</v>
      </c>
      <c r="AP453" s="1004">
        <v>-15904</v>
      </c>
      <c r="AQ453" s="911">
        <v>-16554</v>
      </c>
      <c r="AR453" s="911">
        <v>-17046</v>
      </c>
      <c r="AS453" s="911">
        <v>-17566</v>
      </c>
      <c r="AT453" s="609">
        <f t="shared" si="1107"/>
        <v>-18185</v>
      </c>
      <c r="AU453" s="1004">
        <v>-18185</v>
      </c>
      <c r="AV453" s="911">
        <v>-18694</v>
      </c>
      <c r="AW453" s="911">
        <v>-19336</v>
      </c>
      <c r="AX453" s="911">
        <v>-19979</v>
      </c>
      <c r="AY453" s="609">
        <f t="shared" si="1108"/>
        <v>-20574</v>
      </c>
      <c r="AZ453" s="1004">
        <v>-20574</v>
      </c>
      <c r="BA453" s="911">
        <v>-21293</v>
      </c>
      <c r="BB453" s="911">
        <v>-21993</v>
      </c>
      <c r="BC453" s="911">
        <v>-22693</v>
      </c>
      <c r="BD453" s="609">
        <f t="shared" si="1109"/>
        <v>-23395</v>
      </c>
      <c r="BE453" s="1004">
        <v>-23395</v>
      </c>
      <c r="BF453" s="911">
        <v>-24175</v>
      </c>
      <c r="BG453" s="911">
        <v>-24977</v>
      </c>
      <c r="BH453" s="915">
        <v>-25477</v>
      </c>
      <c r="BI453" s="177">
        <f>BH453+MO_CFS_Buyback</f>
        <v>-25477</v>
      </c>
      <c r="BJ453" s="973">
        <f t="shared" si="1112"/>
        <v>-25477</v>
      </c>
      <c r="BK453" s="177">
        <f>BJ453+MO_CFS_Buyback</f>
        <v>-25477</v>
      </c>
      <c r="BL453" s="177">
        <f>BK453+MO_CFS_Buyback</f>
        <v>-25477</v>
      </c>
      <c r="BM453" s="177">
        <f>BL453+MO_CFS_Buyback</f>
        <v>-25477</v>
      </c>
      <c r="BN453" s="177">
        <f>BM453+MO_CFS_Buyback</f>
        <v>-25477</v>
      </c>
      <c r="BO453" s="973">
        <f t="shared" si="1113"/>
        <v>-25477</v>
      </c>
      <c r="BP453" s="973">
        <f>BO453+MO_CFS_Buyback</f>
        <v>-25477</v>
      </c>
      <c r="BQ453" s="973">
        <f>BP453+MO_CFS_Buyback</f>
        <v>-25477</v>
      </c>
      <c r="BR453" s="973">
        <f>BQ453+MO_CFS_Buyback</f>
        <v>-25477</v>
      </c>
      <c r="BS453" s="229"/>
    </row>
    <row r="454" spans="1:71" s="44" customFormat="1" ht="15">
      <c r="A454" s="109" t="s">
        <v>175</v>
      </c>
      <c r="B454" s="367"/>
      <c r="C454" s="983">
        <f t="shared" si="1117" ref="C454:AN454">SUM(C445:C453)</f>
        <v>8417</v>
      </c>
      <c r="D454" s="983">
        <f t="shared" si="1117"/>
        <v>11056</v>
      </c>
      <c r="E454" s="983">
        <f t="shared" si="1117"/>
        <v>12946</v>
      </c>
      <c r="F454" s="983">
        <f t="shared" si="1117"/>
        <v>15978</v>
      </c>
      <c r="G454" s="983">
        <f t="shared" si="1117"/>
        <v>14620</v>
      </c>
      <c r="H454" s="111">
        <f t="shared" si="1117"/>
        <v>15676</v>
      </c>
      <c r="I454" s="111">
        <f t="shared" si="1117"/>
        <v>17558</v>
      </c>
      <c r="J454" s="111">
        <f t="shared" si="1117"/>
        <v>17853</v>
      </c>
      <c r="K454" s="111">
        <f t="shared" si="1117"/>
        <v>18347</v>
      </c>
      <c r="L454" s="983">
        <f t="shared" si="1117"/>
        <v>18347</v>
      </c>
      <c r="M454" s="111">
        <f t="shared" si="1117"/>
        <v>18637</v>
      </c>
      <c r="N454" s="111">
        <f t="shared" si="1117"/>
        <v>17018</v>
      </c>
      <c r="O454" s="111">
        <f t="shared" si="1117"/>
        <v>17255</v>
      </c>
      <c r="P454" s="111">
        <f t="shared" si="1117"/>
        <v>17708</v>
      </c>
      <c r="Q454" s="983">
        <f t="shared" si="1117"/>
        <v>17708</v>
      </c>
      <c r="R454" s="111">
        <f t="shared" si="1117"/>
        <v>20021</v>
      </c>
      <c r="S454" s="111">
        <f t="shared" si="1117"/>
        <v>22550</v>
      </c>
      <c r="T454" s="111">
        <f t="shared" si="1117"/>
        <v>22785</v>
      </c>
      <c r="U454" s="111">
        <f t="shared" si="1117"/>
        <v>20482</v>
      </c>
      <c r="V454" s="983">
        <f t="shared" si="1117"/>
        <v>20482</v>
      </c>
      <c r="W454" s="111">
        <f t="shared" si="1117"/>
        <v>20340</v>
      </c>
      <c r="X454" s="111">
        <f t="shared" si="1117"/>
        <v>21503</v>
      </c>
      <c r="Y454" s="111">
        <f t="shared" si="1117"/>
        <v>21977</v>
      </c>
      <c r="Z454" s="111">
        <f t="shared" si="1117"/>
        <v>24598</v>
      </c>
      <c r="AA454" s="983">
        <f t="shared" si="1117"/>
        <v>24598</v>
      </c>
      <c r="AB454" s="111">
        <f t="shared" si="1117"/>
        <v>24287</v>
      </c>
      <c r="AC454" s="111">
        <f t="shared" si="1117"/>
        <v>23800</v>
      </c>
      <c r="AD454" s="111">
        <f t="shared" si="1117"/>
        <v>23234</v>
      </c>
      <c r="AE454" s="111">
        <f t="shared" si="1117"/>
        <v>23462</v>
      </c>
      <c r="AF454" s="983">
        <f t="shared" si="1117"/>
        <v>23462</v>
      </c>
      <c r="AG454" s="111">
        <f t="shared" si="1117"/>
        <v>26049</v>
      </c>
      <c r="AH454" s="111">
        <f t="shared" si="1117"/>
        <v>28241</v>
      </c>
      <c r="AI454" s="111">
        <f t="shared" si="1117"/>
        <v>29438</v>
      </c>
      <c r="AJ454" s="111">
        <f t="shared" si="1117"/>
        <v>28959</v>
      </c>
      <c r="AK454" s="983">
        <f t="shared" si="1117"/>
        <v>28959</v>
      </c>
      <c r="AL454" s="111">
        <f t="shared" si="1117"/>
        <v>26402</v>
      </c>
      <c r="AM454" s="111">
        <f t="shared" si="1117"/>
        <v>29420</v>
      </c>
      <c r="AN454" s="111">
        <f t="shared" si="1117"/>
        <v>32479</v>
      </c>
      <c r="AO454" s="111">
        <f t="shared" si="1118" ref="AO454:AP454">SUM(AO445:AO453)</f>
        <v>33559</v>
      </c>
      <c r="AP454" s="983">
        <f t="shared" si="1118"/>
        <v>33559</v>
      </c>
      <c r="AQ454" s="111">
        <f t="shared" si="1119" ref="AQ454">SUM(AQ445:AQ453)</f>
        <v>32103</v>
      </c>
      <c r="AR454" s="111">
        <f t="shared" si="1120" ref="AR454:AW454">SUM(AR445:AR453)</f>
        <v>33735</v>
      </c>
      <c r="AS454" s="111">
        <f t="shared" si="1120"/>
        <v>33552</v>
      </c>
      <c r="AT454" s="111">
        <f t="shared" si="1120"/>
        <v>33253</v>
      </c>
      <c r="AU454" s="983">
        <f t="shared" si="1120"/>
        <v>33253</v>
      </c>
      <c r="AV454" s="111">
        <f t="shared" si="1120"/>
        <v>29527</v>
      </c>
      <c r="AW454" s="111">
        <f t="shared" si="1120"/>
        <v>26387</v>
      </c>
      <c r="AX454" s="111">
        <f t="shared" si="1121" ref="AX454:BJ454">SUM(AX445:AX453)</f>
        <v>24152</v>
      </c>
      <c r="AY454" s="111">
        <f t="shared" si="1121"/>
        <v>22365</v>
      </c>
      <c r="AZ454" s="983">
        <f t="shared" si="1121"/>
        <v>22365</v>
      </c>
      <c r="BA454" s="111">
        <f t="shared" si="1122" ref="BA454:BI454">SUM(BA445:BA453)</f>
        <v>19784</v>
      </c>
      <c r="BB454" s="111">
        <f t="shared" si="1122"/>
        <v>20439</v>
      </c>
      <c r="BC454" s="100">
        <f t="shared" si="1122"/>
        <v>22669</v>
      </c>
      <c r="BD454" s="111">
        <f t="shared" si="1122"/>
        <v>21985</v>
      </c>
      <c r="BE454" s="977">
        <f t="shared" si="1122"/>
        <v>21985</v>
      </c>
      <c r="BF454" s="111">
        <f>SUM(BF445:BF453)</f>
        <v>23537</v>
      </c>
      <c r="BG454" s="111">
        <f>SUM(BG445:BG453)</f>
        <v>26047</v>
      </c>
      <c r="BH454" s="741">
        <f>SUM(BH445:BH453)</f>
        <v>24830</v>
      </c>
      <c r="BI454" s="25">
        <f t="shared" ca="1" si="1122"/>
        <v>25398.065464017047</v>
      </c>
      <c r="BJ454" s="982">
        <f t="shared" ca="1" si="1121"/>
        <v>25398.065464017047</v>
      </c>
      <c r="BK454" s="25">
        <f ca="1" t="shared" si="1123" ref="BK454:BR454">SUM(BK445:BK453)</f>
        <v>26090.37257529881</v>
      </c>
      <c r="BL454" s="25">
        <f t="shared" ca="1" si="1123"/>
        <v>26786.479534593054</v>
      </c>
      <c r="BM454" s="25">
        <f t="shared" ca="1" si="1123"/>
        <v>27458.60150294959</v>
      </c>
      <c r="BN454" s="25">
        <f t="shared" ca="1" si="1123"/>
        <v>28224.840092881961</v>
      </c>
      <c r="BO454" s="982">
        <f t="shared" ca="1" si="1123"/>
        <v>28224.840092881961</v>
      </c>
      <c r="BP454" s="982">
        <f t="shared" ca="1" si="1123"/>
        <v>31292.981800370406</v>
      </c>
      <c r="BQ454" s="982">
        <f t="shared" ca="1" si="1123"/>
        <v>34307.800507278022</v>
      </c>
      <c r="BR454" s="982">
        <f t="shared" ca="1" si="1123"/>
        <v>36311.97632860759</v>
      </c>
      <c r="BS454" s="100"/>
    </row>
    <row r="455" spans="1:71" s="224" customFormat="1" ht="15">
      <c r="A455" s="228" t="s">
        <v>176</v>
      </c>
      <c r="B455" s="363"/>
      <c r="C455" s="971"/>
      <c r="D455" s="971"/>
      <c r="E455" s="971"/>
      <c r="F455" s="971"/>
      <c r="G455" s="971"/>
      <c r="H455" s="176"/>
      <c r="I455" s="176"/>
      <c r="J455" s="176"/>
      <c r="K455" s="176"/>
      <c r="L455" s="971"/>
      <c r="M455" s="176"/>
      <c r="N455" s="176"/>
      <c r="O455" s="176"/>
      <c r="P455" s="176"/>
      <c r="Q455" s="971"/>
      <c r="R455" s="176"/>
      <c r="S455" s="176"/>
      <c r="T455" s="176"/>
      <c r="U455" s="176"/>
      <c r="V455" s="971"/>
      <c r="W455" s="176"/>
      <c r="X455" s="176"/>
      <c r="Y455" s="176"/>
      <c r="Z455" s="176"/>
      <c r="AA455" s="971"/>
      <c r="AB455" s="176"/>
      <c r="AC455" s="176"/>
      <c r="AD455" s="176"/>
      <c r="AE455" s="176"/>
      <c r="AF455" s="971"/>
      <c r="AG455" s="176"/>
      <c r="AH455" s="176"/>
      <c r="AI455" s="176"/>
      <c r="AJ455" s="176"/>
      <c r="AK455" s="971"/>
      <c r="AL455" s="176"/>
      <c r="AM455" s="176"/>
      <c r="AN455" s="176"/>
      <c r="AO455" s="176"/>
      <c r="AP455" s="971"/>
      <c r="AQ455" s="176"/>
      <c r="AR455" s="176"/>
      <c r="AS455" s="176"/>
      <c r="AT455" s="176">
        <f>+AU455</f>
        <v>0</v>
      </c>
      <c r="AU455" s="971"/>
      <c r="AV455" s="176"/>
      <c r="AW455" s="176"/>
      <c r="AX455" s="176"/>
      <c r="AY455" s="176">
        <f>+AZ455</f>
        <v>0</v>
      </c>
      <c r="AZ455" s="971"/>
      <c r="BA455" s="176"/>
      <c r="BB455" s="176"/>
      <c r="BC455" s="176"/>
      <c r="BD455" s="176">
        <f>+BE455</f>
        <v>0</v>
      </c>
      <c r="BE455" s="971"/>
      <c r="BF455" s="176"/>
      <c r="BG455" s="176"/>
      <c r="BH455" s="551"/>
      <c r="BI455" s="176">
        <f>BH455</f>
        <v>0</v>
      </c>
      <c r="BJ455" s="971">
        <f t="shared" si="1124" ref="BJ455">BI455</f>
        <v>0</v>
      </c>
      <c r="BK455" s="176">
        <f t="shared" si="1125" ref="BK455:BR455">BJ455</f>
        <v>0</v>
      </c>
      <c r="BL455" s="176">
        <f t="shared" si="1125"/>
        <v>0</v>
      </c>
      <c r="BM455" s="176">
        <f t="shared" si="1125"/>
        <v>0</v>
      </c>
      <c r="BN455" s="176">
        <f t="shared" si="1125"/>
        <v>0</v>
      </c>
      <c r="BO455" s="971">
        <f t="shared" si="1125"/>
        <v>0</v>
      </c>
      <c r="BP455" s="971">
        <f t="shared" si="1125"/>
        <v>0</v>
      </c>
      <c r="BQ455" s="971">
        <f t="shared" si="1125"/>
        <v>0</v>
      </c>
      <c r="BR455" s="971">
        <f t="shared" si="1125"/>
        <v>0</v>
      </c>
      <c r="BS455" s="229"/>
    </row>
    <row r="456" spans="1:71" s="44" customFormat="1" ht="15">
      <c r="A456" s="108" t="s">
        <v>177</v>
      </c>
      <c r="B456" s="369"/>
      <c r="C456" s="977">
        <f t="shared" si="1126" ref="C456:AN456">C454+C442+C455</f>
        <v>84106</v>
      </c>
      <c r="D456" s="977">
        <f t="shared" si="1126"/>
        <v>101039</v>
      </c>
      <c r="E456" s="977">
        <f t="shared" si="1126"/>
        <v>116237</v>
      </c>
      <c r="F456" s="977">
        <f t="shared" si="1126"/>
        <v>131094</v>
      </c>
      <c r="G456" s="977">
        <f t="shared" si="1126"/>
        <v>121307</v>
      </c>
      <c r="H456" s="100">
        <f t="shared" si="1126"/>
        <v>123292</v>
      </c>
      <c r="I456" s="100">
        <f t="shared" si="1126"/>
        <v>127871</v>
      </c>
      <c r="J456" s="100">
        <f t="shared" si="1126"/>
        <v>127253</v>
      </c>
      <c r="K456" s="100">
        <f t="shared" si="1126"/>
        <v>119767</v>
      </c>
      <c r="L456" s="977">
        <f t="shared" si="1126"/>
        <v>119767</v>
      </c>
      <c r="M456" s="100">
        <f t="shared" si="1126"/>
        <v>121401</v>
      </c>
      <c r="N456" s="100">
        <f t="shared" si="1126"/>
        <v>115581</v>
      </c>
      <c r="O456" s="100">
        <f t="shared" si="1126"/>
        <v>117455</v>
      </c>
      <c r="P456" s="100">
        <f t="shared" si="1126"/>
        <v>118256</v>
      </c>
      <c r="Q456" s="977">
        <f t="shared" si="1126"/>
        <v>118256</v>
      </c>
      <c r="R456" s="100">
        <f t="shared" si="1126"/>
        <v>127766</v>
      </c>
      <c r="S456" s="100">
        <f t="shared" si="1126"/>
        <v>141287</v>
      </c>
      <c r="T456" s="100">
        <f t="shared" si="1126"/>
        <v>144101</v>
      </c>
      <c r="U456" s="100">
        <f t="shared" si="1126"/>
        <v>129819</v>
      </c>
      <c r="V456" s="977">
        <f t="shared" si="1126"/>
        <v>129819</v>
      </c>
      <c r="W456" s="100">
        <f t="shared" si="1126"/>
        <v>133650</v>
      </c>
      <c r="X456" s="100">
        <f t="shared" si="1126"/>
        <v>135394</v>
      </c>
      <c r="Y456" s="100">
        <f t="shared" si="1126"/>
        <v>136083</v>
      </c>
      <c r="Z456" s="100">
        <f t="shared" si="1126"/>
        <v>137217</v>
      </c>
      <c r="AA456" s="977">
        <f t="shared" si="1126"/>
        <v>137217</v>
      </c>
      <c r="AB456" s="100">
        <f t="shared" si="1126"/>
        <v>147356</v>
      </c>
      <c r="AC456" s="100">
        <f t="shared" si="1126"/>
        <v>141986</v>
      </c>
      <c r="AD456" s="100">
        <f t="shared" si="1126"/>
        <v>137941</v>
      </c>
      <c r="AE456" s="100">
        <f t="shared" si="1126"/>
        <v>140406</v>
      </c>
      <c r="AF456" s="977">
        <f t="shared" si="1126"/>
        <v>140406</v>
      </c>
      <c r="AG456" s="100">
        <f t="shared" si="1126"/>
        <v>145679</v>
      </c>
      <c r="AH456" s="100">
        <f t="shared" si="1126"/>
        <v>151400</v>
      </c>
      <c r="AI456" s="100">
        <f t="shared" si="1126"/>
        <v>154137</v>
      </c>
      <c r="AJ456" s="100">
        <f t="shared" si="1126"/>
        <v>152768</v>
      </c>
      <c r="AK456" s="977">
        <f t="shared" si="1126"/>
        <v>152768</v>
      </c>
      <c r="AL456" s="100">
        <f t="shared" si="1126"/>
        <v>151616</v>
      </c>
      <c r="AM456" s="100">
        <f t="shared" si="1126"/>
        <v>157087</v>
      </c>
      <c r="AN456" s="100">
        <f t="shared" si="1126"/>
        <v>160955</v>
      </c>
      <c r="AO456" s="100">
        <f t="shared" si="1127" ref="AO456:AQ456">AO454+AO442+AO455</f>
        <v>165086</v>
      </c>
      <c r="AP456" s="977">
        <f t="shared" si="1127"/>
        <v>165086</v>
      </c>
      <c r="AQ456" s="100">
        <f t="shared" si="1127"/>
        <v>158157</v>
      </c>
      <c r="AR456" s="100">
        <f t="shared" si="1128" ref="AR456:AW456">AR454+AR442+AR455</f>
        <v>161492</v>
      </c>
      <c r="AS456" s="100">
        <f t="shared" si="1128"/>
        <v>160597</v>
      </c>
      <c r="AT456" s="100">
        <f t="shared" si="1128"/>
        <v>157542</v>
      </c>
      <c r="AU456" s="977">
        <f t="shared" si="1128"/>
        <v>157542</v>
      </c>
      <c r="AV456" s="100">
        <f t="shared" si="1128"/>
        <v>147046</v>
      </c>
      <c r="AW456" s="100">
        <f t="shared" si="1128"/>
        <v>135629</v>
      </c>
      <c r="AX456" s="100">
        <f t="shared" si="1129" ref="AX456:BJ456">AX454+AX442+AX455</f>
        <v>128100</v>
      </c>
      <c r="AY456" s="100">
        <f t="shared" si="1129"/>
        <v>131017</v>
      </c>
      <c r="AZ456" s="977">
        <f t="shared" si="1129"/>
        <v>131017</v>
      </c>
      <c r="BA456" s="100">
        <f t="shared" si="1130" ref="BA456:BI456">BA454+BA442+BA455</f>
        <v>134966</v>
      </c>
      <c r="BB456" s="100">
        <f t="shared" si="1130"/>
        <v>130626</v>
      </c>
      <c r="BC456" s="100">
        <f t="shared" si="1130"/>
        <v>125111</v>
      </c>
      <c r="BD456" s="100">
        <f t="shared" si="1130"/>
        <v>126724</v>
      </c>
      <c r="BE456" s="977">
        <f t="shared" si="1130"/>
        <v>126724</v>
      </c>
      <c r="BF456" s="100">
        <f>BF454+BF442+BF455</f>
        <v>124742</v>
      </c>
      <c r="BG456" s="100">
        <f>BG454+BG442+BG455</f>
        <v>120168</v>
      </c>
      <c r="BH456" s="741">
        <f>BH454+BH442+BH455</f>
        <v>128442</v>
      </c>
      <c r="BI456" s="185">
        <f t="shared" ca="1" si="1130"/>
        <v>129719.92126701705</v>
      </c>
      <c r="BJ456" s="978">
        <f t="shared" ca="1" si="1129"/>
        <v>129719.92126701705</v>
      </c>
      <c r="BK456" s="185">
        <f ca="1" t="shared" si="1131" ref="BK456:BR456">BK454+BK442+BK455</f>
        <v>130688.3000812988</v>
      </c>
      <c r="BL456" s="185">
        <f t="shared" ca="1" si="1131"/>
        <v>131660.61905359305</v>
      </c>
      <c r="BM456" s="185">
        <f t="shared" ca="1" si="1131"/>
        <v>132646.05883494957</v>
      </c>
      <c r="BN456" s="185">
        <f t="shared" ca="1" si="1131"/>
        <v>133767.40594088193</v>
      </c>
      <c r="BO456" s="978">
        <f t="shared" ca="1" si="1131"/>
        <v>133767.40594088193</v>
      </c>
      <c r="BP456" s="978">
        <f t="shared" ca="1" si="1131"/>
        <v>137860.65315374112</v>
      </c>
      <c r="BQ456" s="978">
        <f t="shared" ca="1" si="1131"/>
        <v>142022.10097365564</v>
      </c>
      <c r="BR456" s="978">
        <f t="shared" ca="1" si="1131"/>
        <v>145510.90518598523</v>
      </c>
      <c r="BS456" s="100"/>
    </row>
    <row r="457" spans="1:71" s="224" customFormat="1" ht="15">
      <c r="A457" s="176"/>
      <c r="B457" s="176"/>
      <c r="C457" s="176"/>
      <c r="D457" s="176"/>
      <c r="E457" s="176"/>
      <c r="F457" s="176"/>
      <c r="G457" s="176"/>
      <c r="H457" s="176"/>
      <c r="I457" s="176"/>
      <c r="J457" s="176"/>
      <c r="K457" s="176"/>
      <c r="L457" s="176"/>
      <c r="M457" s="176"/>
      <c r="N457" s="176"/>
      <c r="O457" s="176"/>
      <c r="P457" s="176"/>
      <c r="Q457" s="176"/>
      <c r="R457" s="176"/>
      <c r="S457" s="176"/>
      <c r="T457" s="176"/>
      <c r="U457" s="176"/>
      <c r="V457" s="176"/>
      <c r="W457" s="176"/>
      <c r="X457" s="176"/>
      <c r="Y457" s="176"/>
      <c r="Z457" s="176"/>
      <c r="AA457" s="176"/>
      <c r="AB457" s="176"/>
      <c r="AC457" s="176"/>
      <c r="AD457" s="176"/>
      <c r="AE457" s="176"/>
      <c r="AF457" s="176"/>
      <c r="AG457" s="176"/>
      <c r="AH457" s="176"/>
      <c r="AI457" s="176"/>
      <c r="AJ457" s="176"/>
      <c r="AK457" s="176"/>
      <c r="AL457" s="176"/>
      <c r="AM457" s="176"/>
      <c r="AN457" s="176"/>
      <c r="AO457" s="176"/>
      <c r="AP457" s="176"/>
      <c r="AQ457" s="176"/>
      <c r="AR457" s="176"/>
      <c r="AS457" s="176"/>
      <c r="AT457" s="176"/>
      <c r="AU457" s="176"/>
      <c r="AV457" s="176"/>
      <c r="AW457" s="176"/>
      <c r="AX457" s="176"/>
      <c r="AY457" s="176"/>
      <c r="AZ457" s="176"/>
      <c r="BA457" s="176"/>
      <c r="BB457" s="176"/>
      <c r="BC457" s="176"/>
      <c r="BD457" s="176"/>
      <c r="BE457" s="176"/>
      <c r="BF457" s="176"/>
      <c r="BG457" s="176"/>
      <c r="BH457" s="551"/>
      <c r="BI457" s="176"/>
      <c r="BJ457" s="176"/>
      <c r="BK457" s="176"/>
      <c r="BL457" s="176"/>
      <c r="BM457" s="176"/>
      <c r="BN457" s="176"/>
      <c r="BO457" s="176"/>
      <c r="BP457" s="176"/>
      <c r="BQ457" s="176"/>
      <c r="BR457" s="176"/>
      <c r="BS457" s="229"/>
    </row>
    <row r="458" spans="1:71" s="224" customFormat="1" ht="15">
      <c r="A458" s="23" t="s">
        <v>178</v>
      </c>
      <c r="B458" s="23"/>
      <c r="C458" s="24">
        <f t="shared" si="1132" ref="C458:AM458">ROUND(C430-C456,6)</f>
        <v>0</v>
      </c>
      <c r="D458" s="24">
        <f t="shared" si="1132"/>
        <v>0</v>
      </c>
      <c r="E458" s="24">
        <f t="shared" si="1132"/>
        <v>0</v>
      </c>
      <c r="F458" s="24">
        <f t="shared" si="1132"/>
        <v>0</v>
      </c>
      <c r="G458" s="24">
        <f t="shared" si="1132"/>
        <v>0</v>
      </c>
      <c r="H458" s="24">
        <f t="shared" si="1132"/>
        <v>0</v>
      </c>
      <c r="I458" s="24">
        <f t="shared" si="1132"/>
        <v>0</v>
      </c>
      <c r="J458" s="24">
        <f t="shared" si="1132"/>
        <v>0</v>
      </c>
      <c r="K458" s="24">
        <f t="shared" si="1132"/>
        <v>0</v>
      </c>
      <c r="L458" s="24">
        <f t="shared" si="1132"/>
        <v>0</v>
      </c>
      <c r="M458" s="24">
        <f t="shared" si="1132"/>
        <v>0</v>
      </c>
      <c r="N458" s="24">
        <f t="shared" si="1132"/>
        <v>0</v>
      </c>
      <c r="O458" s="24">
        <f t="shared" si="1132"/>
        <v>0</v>
      </c>
      <c r="P458" s="24">
        <f t="shared" si="1132"/>
        <v>0</v>
      </c>
      <c r="Q458" s="24">
        <f t="shared" si="1132"/>
        <v>0</v>
      </c>
      <c r="R458" s="24">
        <f t="shared" si="1132"/>
        <v>0</v>
      </c>
      <c r="S458" s="24">
        <f t="shared" si="1132"/>
        <v>0</v>
      </c>
      <c r="T458" s="24">
        <f t="shared" si="1132"/>
        <v>0</v>
      </c>
      <c r="U458" s="24">
        <f t="shared" si="1132"/>
        <v>0</v>
      </c>
      <c r="V458" s="24">
        <f t="shared" si="1132"/>
        <v>0</v>
      </c>
      <c r="W458" s="24">
        <f t="shared" si="1132"/>
        <v>0</v>
      </c>
      <c r="X458" s="24">
        <f t="shared" si="1132"/>
        <v>0</v>
      </c>
      <c r="Y458" s="24">
        <f t="shared" si="1132"/>
        <v>0</v>
      </c>
      <c r="Z458" s="24">
        <f t="shared" si="1132"/>
        <v>0</v>
      </c>
      <c r="AA458" s="24">
        <f t="shared" si="1132"/>
        <v>0</v>
      </c>
      <c r="AB458" s="24">
        <f t="shared" si="1132"/>
        <v>0</v>
      </c>
      <c r="AC458" s="24">
        <f t="shared" si="1132"/>
        <v>0</v>
      </c>
      <c r="AD458" s="24">
        <f t="shared" si="1132"/>
        <v>0</v>
      </c>
      <c r="AE458" s="24">
        <f t="shared" si="1132"/>
        <v>0</v>
      </c>
      <c r="AF458" s="24">
        <f t="shared" si="1132"/>
        <v>0</v>
      </c>
      <c r="AG458" s="24">
        <f t="shared" si="1132"/>
        <v>0</v>
      </c>
      <c r="AH458" s="24">
        <f t="shared" si="1132"/>
        <v>0</v>
      </c>
      <c r="AI458" s="24">
        <f t="shared" si="1132"/>
        <v>0</v>
      </c>
      <c r="AJ458" s="24">
        <f t="shared" si="1132"/>
        <v>0</v>
      </c>
      <c r="AK458" s="24">
        <f t="shared" si="1132"/>
        <v>0</v>
      </c>
      <c r="AL458" s="24">
        <f t="shared" si="1132"/>
        <v>0</v>
      </c>
      <c r="AM458" s="24">
        <f t="shared" si="1132"/>
        <v>0</v>
      </c>
      <c r="AN458" s="24">
        <f t="shared" si="1133" ref="AN458:AQ458">ROUND(AN430-AN456,6)</f>
        <v>0</v>
      </c>
      <c r="AO458" s="24">
        <f t="shared" si="1133"/>
        <v>0</v>
      </c>
      <c r="AP458" s="24">
        <f t="shared" si="1133"/>
        <v>0</v>
      </c>
      <c r="AQ458" s="24">
        <f t="shared" si="1133"/>
        <v>0</v>
      </c>
      <c r="AR458" s="24">
        <f t="shared" si="1134" ref="AR458:AS458">ROUND(AR430-AR456,6)</f>
        <v>0</v>
      </c>
      <c r="AS458" s="24">
        <f t="shared" si="1134"/>
        <v>0</v>
      </c>
      <c r="AT458" s="24">
        <f t="shared" si="1135" ref="AT458:BJ458">ROUND(AT430-AT456,6)</f>
        <v>0</v>
      </c>
      <c r="AU458" s="24">
        <f t="shared" si="1135"/>
        <v>0</v>
      </c>
      <c r="AV458" s="24">
        <f t="shared" si="1135"/>
        <v>0</v>
      </c>
      <c r="AW458" s="24">
        <f t="shared" si="1135"/>
        <v>0</v>
      </c>
      <c r="AX458" s="24">
        <f t="shared" si="1135"/>
        <v>0</v>
      </c>
      <c r="AY458" s="24">
        <f t="shared" si="1135"/>
        <v>0</v>
      </c>
      <c r="AZ458" s="24">
        <f t="shared" si="1135"/>
        <v>0</v>
      </c>
      <c r="BA458" s="24">
        <f t="shared" si="1136" ref="BA458:BI458">ROUND(BA430-BA456,6)</f>
        <v>0</v>
      </c>
      <c r="BB458" s="24">
        <f t="shared" si="1136"/>
        <v>0</v>
      </c>
      <c r="BC458" s="24">
        <f t="shared" si="1136"/>
        <v>0</v>
      </c>
      <c r="BD458" s="24">
        <f t="shared" si="1136"/>
        <v>0</v>
      </c>
      <c r="BE458" s="24">
        <f t="shared" si="1136"/>
        <v>0</v>
      </c>
      <c r="BF458" s="24">
        <f>ROUND(BF430-BF456,6)</f>
        <v>0</v>
      </c>
      <c r="BG458" s="24">
        <f>ROUND(BG430-BG456,6)</f>
        <v>0</v>
      </c>
      <c r="BH458" s="554">
        <f>ROUND(BH430-BH456,6)</f>
        <v>0</v>
      </c>
      <c r="BI458" s="24">
        <f t="shared" ca="1" si="1136"/>
        <v>0</v>
      </c>
      <c r="BJ458" s="24">
        <f t="shared" ca="1" si="1135"/>
        <v>0</v>
      </c>
      <c r="BK458" s="24">
        <f ca="1" t="shared" si="1137" ref="BK458:BR458">ROUND(BK430-BK456,6)</f>
        <v>0</v>
      </c>
      <c r="BL458" s="24">
        <f t="shared" ca="1" si="1137"/>
        <v>0</v>
      </c>
      <c r="BM458" s="24">
        <f t="shared" ca="1" si="1137"/>
        <v>0</v>
      </c>
      <c r="BN458" s="24">
        <f t="shared" ca="1" si="1137"/>
        <v>0</v>
      </c>
      <c r="BO458" s="24">
        <f t="shared" ca="1" si="1137"/>
        <v>0</v>
      </c>
      <c r="BP458" s="24">
        <f t="shared" ca="1" si="1137"/>
        <v>0</v>
      </c>
      <c r="BQ458" s="24">
        <f t="shared" ca="1" si="1137"/>
        <v>0</v>
      </c>
      <c r="BR458" s="24">
        <f t="shared" ca="1" si="1137"/>
        <v>0</v>
      </c>
      <c r="BS458" s="229"/>
    </row>
    <row r="459" spans="1:71" s="224" customFormat="1" ht="15">
      <c r="A459" s="176"/>
      <c r="B459" s="176"/>
      <c r="C459" s="176"/>
      <c r="D459" s="176"/>
      <c r="E459" s="176"/>
      <c r="F459" s="176"/>
      <c r="G459" s="176"/>
      <c r="H459" s="176"/>
      <c r="I459" s="176"/>
      <c r="J459" s="176"/>
      <c r="K459" s="176"/>
      <c r="L459" s="176"/>
      <c r="M459" s="176"/>
      <c r="N459" s="176"/>
      <c r="O459" s="176"/>
      <c r="P459" s="176"/>
      <c r="Q459" s="176"/>
      <c r="R459" s="176"/>
      <c r="S459" s="176"/>
      <c r="T459" s="176"/>
      <c r="U459" s="176"/>
      <c r="V459" s="176"/>
      <c r="W459" s="176"/>
      <c r="X459" s="176"/>
      <c r="Y459" s="176"/>
      <c r="Z459" s="176"/>
      <c r="AA459" s="176"/>
      <c r="AB459" s="176"/>
      <c r="AC459" s="176"/>
      <c r="AD459" s="176"/>
      <c r="AE459" s="176"/>
      <c r="AF459" s="176"/>
      <c r="AG459" s="176"/>
      <c r="AH459" s="176"/>
      <c r="AI459" s="176"/>
      <c r="AJ459" s="176"/>
      <c r="AK459" s="176"/>
      <c r="AL459" s="176"/>
      <c r="AM459" s="176"/>
      <c r="AN459" s="176"/>
      <c r="AO459" s="176"/>
      <c r="AP459" s="176"/>
      <c r="AQ459" s="176"/>
      <c r="AR459" s="176"/>
      <c r="AS459" s="176"/>
      <c r="AT459" s="176"/>
      <c r="AU459" s="176"/>
      <c r="AV459" s="176"/>
      <c r="AW459" s="176"/>
      <c r="AX459" s="176"/>
      <c r="AY459" s="176"/>
      <c r="AZ459" s="176"/>
      <c r="BA459" s="176"/>
      <c r="BB459" s="176"/>
      <c r="BC459" s="176"/>
      <c r="BD459" s="176"/>
      <c r="BE459" s="176"/>
      <c r="BF459" s="176"/>
      <c r="BG459" s="176"/>
      <c r="BH459" s="551"/>
      <c r="BI459" s="176"/>
      <c r="BJ459" s="176"/>
      <c r="BK459" s="176"/>
      <c r="BL459" s="176"/>
      <c r="BM459" s="176"/>
      <c r="BN459" s="176"/>
      <c r="BO459" s="176"/>
      <c r="BP459" s="176"/>
      <c r="BQ459" s="176"/>
      <c r="BR459" s="176"/>
      <c r="BS459" s="229"/>
    </row>
    <row r="460" spans="1:71" s="43" customFormat="1" ht="15">
      <c r="A460" s="817" t="s">
        <v>179</v>
      </c>
      <c r="B460" s="817"/>
      <c r="C460" s="850"/>
      <c r="D460" s="850"/>
      <c r="E460" s="850"/>
      <c r="F460" s="850"/>
      <c r="G460" s="850"/>
      <c r="H460" s="850"/>
      <c r="I460" s="850"/>
      <c r="J460" s="850"/>
      <c r="K460" s="850"/>
      <c r="L460" s="850"/>
      <c r="M460" s="850"/>
      <c r="N460" s="850"/>
      <c r="O460" s="850"/>
      <c r="P460" s="850"/>
      <c r="Q460" s="850"/>
      <c r="R460" s="850"/>
      <c r="S460" s="850"/>
      <c r="T460" s="850"/>
      <c r="U460" s="850"/>
      <c r="V460" s="850"/>
      <c r="W460" s="850"/>
      <c r="X460" s="850"/>
      <c r="Y460" s="850"/>
      <c r="Z460" s="850"/>
      <c r="AA460" s="850"/>
      <c r="AB460" s="850"/>
      <c r="AC460" s="850"/>
      <c r="AD460" s="850"/>
      <c r="AE460" s="850"/>
      <c r="AF460" s="850"/>
      <c r="AG460" s="850"/>
      <c r="AH460" s="850"/>
      <c r="AI460" s="850"/>
      <c r="AJ460" s="850"/>
      <c r="AK460" s="850"/>
      <c r="AL460" s="850"/>
      <c r="AM460" s="850"/>
      <c r="AN460" s="850"/>
      <c r="AO460" s="850"/>
      <c r="AP460" s="850"/>
      <c r="AQ460" s="850"/>
      <c r="AR460" s="850"/>
      <c r="AS460" s="850"/>
      <c r="AT460" s="850"/>
      <c r="AU460" s="850"/>
      <c r="AV460" s="850"/>
      <c r="AW460" s="850"/>
      <c r="AX460" s="850"/>
      <c r="AY460" s="850"/>
      <c r="AZ460" s="850"/>
      <c r="BA460" s="850"/>
      <c r="BB460" s="850"/>
      <c r="BC460" s="850"/>
      <c r="BD460" s="850"/>
      <c r="BE460" s="850"/>
      <c r="BF460" s="850"/>
      <c r="BG460" s="850"/>
      <c r="BH460" s="851"/>
      <c r="BI460" s="850"/>
      <c r="BJ460" s="850"/>
      <c r="BK460" s="850"/>
      <c r="BL460" s="850"/>
      <c r="BM460" s="850"/>
      <c r="BN460" s="850"/>
      <c r="BO460" s="850"/>
      <c r="BP460" s="850"/>
      <c r="BQ460" s="850"/>
      <c r="BR460" s="850"/>
      <c r="BS460" s="475"/>
    </row>
    <row r="461" spans="1:71" s="223" customFormat="1" ht="15">
      <c r="A461" s="816" t="s">
        <v>180</v>
      </c>
      <c r="B461" s="527"/>
      <c r="C461" s="852">
        <f t="shared" si="1138" ref="C461:AH461">IF(ISBLANK(INDEX(MO_IS_FirstRow,0,COLUMN())),0,ROUND(C365-C217+C219,6))</f>
        <v>0</v>
      </c>
      <c r="D461" s="852">
        <f t="shared" si="1138"/>
        <v>0</v>
      </c>
      <c r="E461" s="852">
        <f t="shared" si="1138"/>
        <v>0</v>
      </c>
      <c r="F461" s="852">
        <f t="shared" si="1138"/>
        <v>0</v>
      </c>
      <c r="G461" s="852">
        <f t="shared" si="1138"/>
        <v>0</v>
      </c>
      <c r="H461" s="852">
        <f t="shared" si="1138"/>
        <v>0</v>
      </c>
      <c r="I461" s="852">
        <f t="shared" si="1138"/>
        <v>0</v>
      </c>
      <c r="J461" s="852">
        <f t="shared" si="1138"/>
        <v>0</v>
      </c>
      <c r="K461" s="852">
        <f t="shared" si="1138"/>
        <v>0</v>
      </c>
      <c r="L461" s="852">
        <f t="shared" si="1138"/>
        <v>0</v>
      </c>
      <c r="M461" s="852">
        <f t="shared" si="1138"/>
        <v>0</v>
      </c>
      <c r="N461" s="852">
        <f t="shared" si="1138"/>
        <v>0</v>
      </c>
      <c r="O461" s="852">
        <f t="shared" si="1138"/>
        <v>0</v>
      </c>
      <c r="P461" s="852">
        <f t="shared" si="1138"/>
        <v>0</v>
      </c>
      <c r="Q461" s="852">
        <f t="shared" si="1138"/>
        <v>0</v>
      </c>
      <c r="R461" s="852">
        <f t="shared" si="1138"/>
        <v>0</v>
      </c>
      <c r="S461" s="852">
        <f t="shared" si="1138"/>
        <v>0</v>
      </c>
      <c r="T461" s="852">
        <f t="shared" si="1138"/>
        <v>0</v>
      </c>
      <c r="U461" s="852">
        <f t="shared" si="1138"/>
        <v>0</v>
      </c>
      <c r="V461" s="852">
        <f t="shared" si="1138"/>
        <v>0</v>
      </c>
      <c r="W461" s="852">
        <f t="shared" si="1138"/>
        <v>0</v>
      </c>
      <c r="X461" s="852">
        <f t="shared" si="1138"/>
        <v>0</v>
      </c>
      <c r="Y461" s="852">
        <f t="shared" si="1138"/>
        <v>0</v>
      </c>
      <c r="Z461" s="852">
        <f t="shared" si="1138"/>
        <v>0</v>
      </c>
      <c r="AA461" s="852">
        <f t="shared" si="1138"/>
        <v>0</v>
      </c>
      <c r="AB461" s="852">
        <f t="shared" si="1138"/>
        <v>0</v>
      </c>
      <c r="AC461" s="852">
        <f t="shared" si="1138"/>
        <v>1</v>
      </c>
      <c r="AD461" s="852">
        <f t="shared" si="1138"/>
        <v>0</v>
      </c>
      <c r="AE461" s="852">
        <f t="shared" si="1138"/>
        <v>-1</v>
      </c>
      <c r="AF461" s="852">
        <f t="shared" si="1138"/>
        <v>0</v>
      </c>
      <c r="AG461" s="852">
        <f t="shared" si="1138"/>
        <v>0</v>
      </c>
      <c r="AH461" s="852">
        <f t="shared" si="1138"/>
        <v>0</v>
      </c>
      <c r="AI461" s="852">
        <f t="shared" si="1139" ref="AI461:AW461">IF(ISBLANK(INDEX(MO_IS_FirstRow,0,COLUMN())),0,ROUND(AI365-AI217+AI219,6))</f>
        <v>1</v>
      </c>
      <c r="AJ461" s="852">
        <f t="shared" si="1139"/>
        <v>-1</v>
      </c>
      <c r="AK461" s="852">
        <f t="shared" si="1139"/>
        <v>0</v>
      </c>
      <c r="AL461" s="852">
        <f t="shared" si="1139"/>
        <v>0</v>
      </c>
      <c r="AM461" s="852">
        <f t="shared" si="1139"/>
        <v>-1</v>
      </c>
      <c r="AN461" s="852">
        <f t="shared" si="1139"/>
        <v>0</v>
      </c>
      <c r="AO461" s="852">
        <f t="shared" si="1139"/>
        <v>1</v>
      </c>
      <c r="AP461" s="852">
        <f t="shared" si="1139"/>
        <v>0</v>
      </c>
      <c r="AQ461" s="852">
        <f t="shared" si="1139"/>
        <v>0</v>
      </c>
      <c r="AR461" s="852">
        <f t="shared" si="1139"/>
        <v>0</v>
      </c>
      <c r="AS461" s="852">
        <f t="shared" si="1139"/>
        <v>0</v>
      </c>
      <c r="AT461" s="852">
        <f t="shared" si="1139"/>
        <v>0</v>
      </c>
      <c r="AU461" s="852">
        <f t="shared" si="1139"/>
        <v>0</v>
      </c>
      <c r="AV461" s="852">
        <f t="shared" si="1139"/>
        <v>0</v>
      </c>
      <c r="AW461" s="852">
        <f t="shared" si="1139"/>
        <v>0</v>
      </c>
      <c r="AX461" s="852">
        <f t="shared" si="1140" ref="AX461:AZ461">IF(ISBLANK(INDEX(MO_IS_FirstRow,0,COLUMN())),0,ROUND(AX365-AX217+AX219,6))</f>
        <v>0</v>
      </c>
      <c r="AY461" s="852">
        <f t="shared" si="1140"/>
        <v>0</v>
      </c>
      <c r="AZ461" s="852">
        <f t="shared" si="1140"/>
        <v>0</v>
      </c>
      <c r="BA461" s="852">
        <f t="shared" si="1141" ref="BA461:BR461">IF(ISBLANK(INDEX(MO_IS_FirstRow,0,COLUMN())),0,ROUND(BA365-BA217+BA219,6))</f>
        <v>0</v>
      </c>
      <c r="BB461" s="852">
        <f t="shared" si="1141"/>
        <v>0</v>
      </c>
      <c r="BC461" s="852">
        <f t="shared" si="1141"/>
        <v>0</v>
      </c>
      <c r="BD461" s="852">
        <f t="shared" si="1141"/>
        <v>0</v>
      </c>
      <c r="BE461" s="852">
        <f t="shared" si="1141"/>
        <v>0</v>
      </c>
      <c r="BF461" s="852">
        <f>IF(ISBLANK(INDEX(MO_IS_FirstRow,0,COLUMN())),0,ROUND(BF365-BF217+BF219,6))</f>
        <v>0</v>
      </c>
      <c r="BG461" s="852">
        <f>IF(ISBLANK(INDEX(MO_IS_FirstRow,0,COLUMN())),0,ROUND(BG365-BG217+BG219,6))</f>
        <v>0</v>
      </c>
      <c r="BH461" s="853">
        <f>IF(ISBLANK(INDEX(MO_IS_FirstRow,0,COLUMN())),0,ROUND(BH365-BH217+BH219,6))</f>
        <v>0</v>
      </c>
      <c r="BI461" s="852">
        <f t="shared" si="1141"/>
        <v>0</v>
      </c>
      <c r="BJ461" s="852">
        <f t="shared" si="1141"/>
        <v>0</v>
      </c>
      <c r="BK461" s="852">
        <f t="shared" si="1141"/>
        <v>0</v>
      </c>
      <c r="BL461" s="852">
        <f t="shared" si="1141"/>
        <v>0</v>
      </c>
      <c r="BM461" s="852">
        <f t="shared" si="1141"/>
        <v>0</v>
      </c>
      <c r="BN461" s="852">
        <f t="shared" si="1141"/>
        <v>0</v>
      </c>
      <c r="BO461" s="852">
        <f t="shared" si="1141"/>
        <v>0</v>
      </c>
      <c r="BP461" s="852">
        <f t="shared" si="1141"/>
        <v>0</v>
      </c>
      <c r="BQ461" s="852">
        <f t="shared" si="1141"/>
        <v>0</v>
      </c>
      <c r="BR461" s="852">
        <f t="shared" si="1141"/>
        <v>0</v>
      </c>
      <c r="BS461" s="816"/>
    </row>
    <row r="462" spans="1:71" s="223" customFormat="1" ht="15">
      <c r="A462" s="816" t="s">
        <v>181</v>
      </c>
      <c r="B462" s="527"/>
      <c r="C462" s="852">
        <f t="shared" si="1142" ref="C462:AH462">IF(ISBLANK(INDEX(MO_IS_FirstRow,0,COLUMN())),0,ROUND(C183-C222,6))</f>
        <v>0</v>
      </c>
      <c r="D462" s="852">
        <f t="shared" si="1142"/>
        <v>0</v>
      </c>
      <c r="E462" s="852">
        <f t="shared" si="1142"/>
        <v>0</v>
      </c>
      <c r="F462" s="852">
        <f t="shared" si="1142"/>
        <v>0</v>
      </c>
      <c r="G462" s="852">
        <f t="shared" si="1142"/>
        <v>0</v>
      </c>
      <c r="H462" s="852">
        <f t="shared" si="1142"/>
        <v>0</v>
      </c>
      <c r="I462" s="852">
        <f t="shared" si="1142"/>
        <v>0</v>
      </c>
      <c r="J462" s="852">
        <f t="shared" si="1142"/>
        <v>0</v>
      </c>
      <c r="K462" s="852">
        <f t="shared" si="1142"/>
        <v>0</v>
      </c>
      <c r="L462" s="852">
        <f t="shared" si="1142"/>
        <v>0</v>
      </c>
      <c r="M462" s="852">
        <f t="shared" si="1142"/>
        <v>0</v>
      </c>
      <c r="N462" s="852">
        <f t="shared" si="1142"/>
        <v>0</v>
      </c>
      <c r="O462" s="852">
        <f t="shared" si="1142"/>
        <v>0</v>
      </c>
      <c r="P462" s="852">
        <f t="shared" si="1142"/>
        <v>0</v>
      </c>
      <c r="Q462" s="852">
        <f t="shared" si="1142"/>
        <v>0</v>
      </c>
      <c r="R462" s="852">
        <f t="shared" si="1142"/>
        <v>0</v>
      </c>
      <c r="S462" s="852">
        <f t="shared" si="1142"/>
        <v>0</v>
      </c>
      <c r="T462" s="852">
        <f t="shared" si="1142"/>
        <v>0</v>
      </c>
      <c r="U462" s="852">
        <f t="shared" si="1142"/>
        <v>0</v>
      </c>
      <c r="V462" s="852">
        <f t="shared" si="1142"/>
        <v>0</v>
      </c>
      <c r="W462" s="852">
        <f t="shared" si="1142"/>
        <v>0</v>
      </c>
      <c r="X462" s="852">
        <f t="shared" si="1142"/>
        <v>0</v>
      </c>
      <c r="Y462" s="852">
        <f t="shared" si="1142"/>
        <v>0</v>
      </c>
      <c r="Z462" s="852">
        <f t="shared" si="1142"/>
        <v>0</v>
      </c>
      <c r="AA462" s="852">
        <f t="shared" si="1142"/>
        <v>0</v>
      </c>
      <c r="AB462" s="852">
        <f t="shared" si="1142"/>
        <v>0</v>
      </c>
      <c r="AC462" s="852">
        <f t="shared" si="1142"/>
        <v>0</v>
      </c>
      <c r="AD462" s="852">
        <f t="shared" si="1142"/>
        <v>0</v>
      </c>
      <c r="AE462" s="852">
        <f t="shared" si="1142"/>
        <v>0</v>
      </c>
      <c r="AF462" s="852">
        <f t="shared" si="1142"/>
        <v>0</v>
      </c>
      <c r="AG462" s="852">
        <f t="shared" si="1142"/>
        <v>0</v>
      </c>
      <c r="AH462" s="852">
        <f t="shared" si="1142"/>
        <v>0</v>
      </c>
      <c r="AI462" s="852">
        <f t="shared" si="1143" ref="AI462:AW462">IF(ISBLANK(INDEX(MO_IS_FirstRow,0,COLUMN())),0,ROUND(AI183-AI222,6))</f>
        <v>0</v>
      </c>
      <c r="AJ462" s="852">
        <f t="shared" si="1143"/>
        <v>0</v>
      </c>
      <c r="AK462" s="852">
        <f t="shared" si="1143"/>
        <v>0</v>
      </c>
      <c r="AL462" s="852">
        <f t="shared" si="1143"/>
        <v>0</v>
      </c>
      <c r="AM462" s="852">
        <f t="shared" si="1143"/>
        <v>0</v>
      </c>
      <c r="AN462" s="852">
        <f t="shared" si="1143"/>
        <v>0</v>
      </c>
      <c r="AO462" s="852">
        <f t="shared" si="1143"/>
        <v>0</v>
      </c>
      <c r="AP462" s="852">
        <f t="shared" si="1143"/>
        <v>0</v>
      </c>
      <c r="AQ462" s="852">
        <f t="shared" si="1143"/>
        <v>0</v>
      </c>
      <c r="AR462" s="852">
        <f t="shared" si="1143"/>
        <v>0</v>
      </c>
      <c r="AS462" s="852">
        <f t="shared" si="1143"/>
        <v>0</v>
      </c>
      <c r="AT462" s="852">
        <f t="shared" si="1143"/>
        <v>0</v>
      </c>
      <c r="AU462" s="852">
        <f t="shared" si="1143"/>
        <v>0</v>
      </c>
      <c r="AV462" s="852">
        <f t="shared" si="1143"/>
        <v>0</v>
      </c>
      <c r="AW462" s="852">
        <f t="shared" si="1143"/>
        <v>0</v>
      </c>
      <c r="AX462" s="852">
        <f t="shared" si="1144" ref="AX462:AZ462">IF(ISBLANK(INDEX(MO_IS_FirstRow,0,COLUMN())),0,ROUND(AX183-AX222,6))</f>
        <v>0</v>
      </c>
      <c r="AY462" s="852">
        <f t="shared" si="1144"/>
        <v>0</v>
      </c>
      <c r="AZ462" s="852">
        <f t="shared" si="1144"/>
        <v>0</v>
      </c>
      <c r="BA462" s="852">
        <f t="shared" si="1145" ref="BA462:BR462">IF(ISBLANK(INDEX(MO_IS_FirstRow,0,COLUMN())),0,ROUND(BA183-BA222,6))</f>
        <v>0</v>
      </c>
      <c r="BB462" s="852">
        <f t="shared" si="1145"/>
        <v>0</v>
      </c>
      <c r="BC462" s="852">
        <f t="shared" si="1145"/>
        <v>0</v>
      </c>
      <c r="BD462" s="852">
        <f t="shared" si="1145"/>
        <v>0</v>
      </c>
      <c r="BE462" s="852">
        <f t="shared" si="1145"/>
        <v>0</v>
      </c>
      <c r="BF462" s="852">
        <f>IF(ISBLANK(INDEX(MO_IS_FirstRow,0,COLUMN())),0,ROUND(BF183-BF222,6))</f>
        <v>0</v>
      </c>
      <c r="BG462" s="852">
        <f>IF(ISBLANK(INDEX(MO_IS_FirstRow,0,COLUMN())),0,ROUND(BG183-BG222,6))</f>
        <v>0</v>
      </c>
      <c r="BH462" s="853">
        <f>IF(ISBLANK(INDEX(MO_IS_FirstRow,0,COLUMN())),0,ROUND(BH183-BH222,6))</f>
        <v>0</v>
      </c>
      <c r="BI462" s="852">
        <f t="shared" si="1145"/>
        <v>0</v>
      </c>
      <c r="BJ462" s="852">
        <f t="shared" si="1145"/>
        <v>0</v>
      </c>
      <c r="BK462" s="852">
        <f t="shared" si="1145"/>
        <v>0</v>
      </c>
      <c r="BL462" s="852">
        <f t="shared" si="1145"/>
        <v>0</v>
      </c>
      <c r="BM462" s="852">
        <f t="shared" si="1145"/>
        <v>0</v>
      </c>
      <c r="BN462" s="852">
        <f t="shared" si="1145"/>
        <v>0</v>
      </c>
      <c r="BO462" s="852">
        <f t="shared" si="1145"/>
        <v>0</v>
      </c>
      <c r="BP462" s="852">
        <f t="shared" si="1145"/>
        <v>0</v>
      </c>
      <c r="BQ462" s="852">
        <f t="shared" si="1145"/>
        <v>0</v>
      </c>
      <c r="BR462" s="852">
        <f t="shared" si="1145"/>
        <v>0</v>
      </c>
      <c r="BS462" s="816"/>
    </row>
    <row r="463" spans="1:71" s="223" customFormat="1" ht="15">
      <c r="A463" s="816" t="s">
        <v>182</v>
      </c>
      <c r="B463" s="527"/>
      <c r="C463" s="852">
        <f t="shared" si="1146" ref="C463:AQ463">ROUND(INDEX(MO_UI_Premiums,0,COLUMN())-INDEX(MO_RIS_Premiums,0,COLUMN()),6)</f>
        <v>0</v>
      </c>
      <c r="D463" s="852">
        <f t="shared" si="1146"/>
        <v>0</v>
      </c>
      <c r="E463" s="852">
        <f t="shared" si="1146"/>
        <v>0</v>
      </c>
      <c r="F463" s="852">
        <f t="shared" si="1146"/>
        <v>0</v>
      </c>
      <c r="G463" s="852">
        <f t="shared" si="1146"/>
        <v>0</v>
      </c>
      <c r="H463" s="852">
        <f t="shared" si="1146"/>
        <v>0</v>
      </c>
      <c r="I463" s="852">
        <f t="shared" si="1146"/>
        <v>0</v>
      </c>
      <c r="J463" s="852">
        <f t="shared" si="1146"/>
        <v>0</v>
      </c>
      <c r="K463" s="852">
        <f t="shared" si="1146"/>
        <v>0</v>
      </c>
      <c r="L463" s="852">
        <f t="shared" si="1146"/>
        <v>0</v>
      </c>
      <c r="M463" s="852">
        <f t="shared" si="1146"/>
        <v>0</v>
      </c>
      <c r="N463" s="852">
        <f t="shared" si="1146"/>
        <v>0</v>
      </c>
      <c r="O463" s="852">
        <f t="shared" si="1146"/>
        <v>0</v>
      </c>
      <c r="P463" s="852">
        <f t="shared" si="1146"/>
        <v>0</v>
      </c>
      <c r="Q463" s="852">
        <f t="shared" si="1146"/>
        <v>0</v>
      </c>
      <c r="R463" s="852">
        <f t="shared" si="1146"/>
        <v>0</v>
      </c>
      <c r="S463" s="852">
        <f t="shared" si="1146"/>
        <v>0</v>
      </c>
      <c r="T463" s="852">
        <f t="shared" si="1146"/>
        <v>0</v>
      </c>
      <c r="U463" s="852">
        <f t="shared" si="1146"/>
        <v>0</v>
      </c>
      <c r="V463" s="852">
        <f t="shared" si="1146"/>
        <v>0</v>
      </c>
      <c r="W463" s="852">
        <f t="shared" si="1146"/>
        <v>0</v>
      </c>
      <c r="X463" s="852">
        <f t="shared" si="1146"/>
        <v>0</v>
      </c>
      <c r="Y463" s="852">
        <f t="shared" si="1146"/>
        <v>0</v>
      </c>
      <c r="Z463" s="852">
        <f t="shared" si="1146"/>
        <v>0</v>
      </c>
      <c r="AA463" s="852">
        <f t="shared" si="1146"/>
        <v>0</v>
      </c>
      <c r="AB463" s="852">
        <f t="shared" si="1146"/>
        <v>0</v>
      </c>
      <c r="AC463" s="852">
        <f t="shared" si="1146"/>
        <v>0</v>
      </c>
      <c r="AD463" s="852">
        <f t="shared" si="1146"/>
        <v>0</v>
      </c>
      <c r="AE463" s="852">
        <f t="shared" si="1146"/>
        <v>0</v>
      </c>
      <c r="AF463" s="852">
        <f t="shared" si="1146"/>
        <v>0</v>
      </c>
      <c r="AG463" s="852">
        <f t="shared" si="1146"/>
        <v>0</v>
      </c>
      <c r="AH463" s="852">
        <f t="shared" si="1146"/>
        <v>0</v>
      </c>
      <c r="AI463" s="852">
        <f t="shared" si="1146"/>
        <v>0</v>
      </c>
      <c r="AJ463" s="852">
        <f t="shared" si="1146"/>
        <v>0</v>
      </c>
      <c r="AK463" s="852">
        <f t="shared" si="1146"/>
        <v>0</v>
      </c>
      <c r="AL463" s="852">
        <f t="shared" si="1146"/>
        <v>0</v>
      </c>
      <c r="AM463" s="852">
        <f t="shared" si="1146"/>
        <v>0</v>
      </c>
      <c r="AN463" s="852">
        <f t="shared" si="1146"/>
        <v>0</v>
      </c>
      <c r="AO463" s="852">
        <f t="shared" si="1146"/>
        <v>0</v>
      </c>
      <c r="AP463" s="852">
        <f t="shared" si="1146"/>
        <v>0</v>
      </c>
      <c r="AQ463" s="852">
        <f t="shared" si="1146"/>
        <v>0</v>
      </c>
      <c r="AR463" s="852">
        <f t="shared" si="1147" ref="AR463:AW463">ROUND(INDEX(MO_UI_Premiums,0,COLUMN())-INDEX(MO_RIS_Premiums,0,COLUMN()),6)</f>
        <v>0</v>
      </c>
      <c r="AS463" s="852">
        <f t="shared" si="1147"/>
        <v>0</v>
      </c>
      <c r="AT463" s="852">
        <f t="shared" si="1147"/>
        <v>0</v>
      </c>
      <c r="AU463" s="852">
        <f t="shared" si="1147"/>
        <v>0</v>
      </c>
      <c r="AV463" s="852">
        <f t="shared" si="1147"/>
        <v>0</v>
      </c>
      <c r="AW463" s="852">
        <f t="shared" si="1147"/>
        <v>0</v>
      </c>
      <c r="AX463" s="852">
        <f t="shared" si="1148" ref="AX463:BJ463">ROUND(INDEX(MO_UI_Premiums,0,COLUMN())-INDEX(MO_RIS_Premiums,0,COLUMN()),6)</f>
        <v>0</v>
      </c>
      <c r="AY463" s="852">
        <f t="shared" si="1148"/>
        <v>0</v>
      </c>
      <c r="AZ463" s="852">
        <f t="shared" si="1148"/>
        <v>0</v>
      </c>
      <c r="BA463" s="852">
        <f t="shared" si="1149" ref="BA463:BI463">ROUND(INDEX(MO_UI_Premiums,0,COLUMN())-INDEX(MO_RIS_Premiums,0,COLUMN()),6)</f>
        <v>0</v>
      </c>
      <c r="BB463" s="852">
        <f t="shared" si="1149"/>
        <v>0</v>
      </c>
      <c r="BC463" s="852">
        <f t="shared" si="1149"/>
        <v>0</v>
      </c>
      <c r="BD463" s="852">
        <f t="shared" si="1149"/>
        <v>0</v>
      </c>
      <c r="BE463" s="852">
        <f t="shared" si="1149"/>
        <v>0</v>
      </c>
      <c r="BF463" s="852">
        <f>ROUND(INDEX(MO_UI_Premiums,0,COLUMN())-INDEX(MO_RIS_Premiums,0,COLUMN()),6)</f>
        <v>0</v>
      </c>
      <c r="BG463" s="852">
        <f>ROUND(INDEX(MO_UI_Premiums,0,COLUMN())-INDEX(MO_RIS_Premiums,0,COLUMN()),6)</f>
        <v>0</v>
      </c>
      <c r="BH463" s="853">
        <f>ROUND(INDEX(MO_UI_Premiums,0,COLUMN())-INDEX(MO_RIS_Premiums,0,COLUMN()),6)</f>
        <v>0</v>
      </c>
      <c r="BI463" s="852">
        <f t="shared" si="1149"/>
        <v>0</v>
      </c>
      <c r="BJ463" s="852">
        <f t="shared" si="1148"/>
        <v>0</v>
      </c>
      <c r="BK463" s="852">
        <f t="shared" si="1150" ref="BK463:BR463">ROUND(INDEX(MO_UI_Premiums,0,COLUMN())-INDEX(MO_RIS_Premiums,0,COLUMN()),6)</f>
        <v>0</v>
      </c>
      <c r="BL463" s="852">
        <f t="shared" si="1150"/>
        <v>0</v>
      </c>
      <c r="BM463" s="852">
        <f t="shared" si="1150"/>
        <v>0</v>
      </c>
      <c r="BN463" s="852">
        <f t="shared" si="1150"/>
        <v>0</v>
      </c>
      <c r="BO463" s="852">
        <f t="shared" si="1150"/>
        <v>0</v>
      </c>
      <c r="BP463" s="852">
        <f t="shared" si="1150"/>
        <v>0</v>
      </c>
      <c r="BQ463" s="852">
        <f t="shared" si="1150"/>
        <v>0</v>
      </c>
      <c r="BR463" s="852">
        <f t="shared" si="1150"/>
        <v>0</v>
      </c>
      <c r="BS463" s="816"/>
    </row>
    <row r="464" spans="1:71" s="223" customFormat="1" ht="15">
      <c r="A464" s="816" t="s">
        <v>183</v>
      </c>
      <c r="B464" s="527"/>
      <c r="C464" s="852">
        <f t="shared" si="1151" ref="C464:AQ464">ROUND(INDEX(MO_II_NetII,0,COLUMN())-INDEX(MO_RIS_NetII,0,COLUMN()),6)</f>
        <v>0</v>
      </c>
      <c r="D464" s="852">
        <f t="shared" si="1151"/>
        <v>0</v>
      </c>
      <c r="E464" s="852">
        <f t="shared" si="1151"/>
        <v>0</v>
      </c>
      <c r="F464" s="852">
        <f t="shared" si="1151"/>
        <v>0</v>
      </c>
      <c r="G464" s="852">
        <f t="shared" si="1151"/>
        <v>0</v>
      </c>
      <c r="H464" s="852">
        <f t="shared" si="1151"/>
        <v>0</v>
      </c>
      <c r="I464" s="852">
        <f t="shared" si="1151"/>
        <v>0</v>
      </c>
      <c r="J464" s="852">
        <f t="shared" si="1151"/>
        <v>0</v>
      </c>
      <c r="K464" s="852">
        <f t="shared" si="1151"/>
        <v>0</v>
      </c>
      <c r="L464" s="852">
        <f t="shared" si="1151"/>
        <v>0</v>
      </c>
      <c r="M464" s="852">
        <f t="shared" si="1151"/>
        <v>0</v>
      </c>
      <c r="N464" s="852">
        <f t="shared" si="1151"/>
        <v>0</v>
      </c>
      <c r="O464" s="852">
        <f t="shared" si="1151"/>
        <v>0</v>
      </c>
      <c r="P464" s="852">
        <f t="shared" si="1151"/>
        <v>0</v>
      </c>
      <c r="Q464" s="852">
        <f t="shared" si="1151"/>
        <v>0</v>
      </c>
      <c r="R464" s="852">
        <f t="shared" si="1151"/>
        <v>0</v>
      </c>
      <c r="S464" s="852">
        <f t="shared" si="1151"/>
        <v>0</v>
      </c>
      <c r="T464" s="852">
        <f t="shared" si="1151"/>
        <v>0</v>
      </c>
      <c r="U464" s="852">
        <f t="shared" si="1151"/>
        <v>0</v>
      </c>
      <c r="V464" s="852">
        <f t="shared" si="1151"/>
        <v>0</v>
      </c>
      <c r="W464" s="852">
        <f t="shared" si="1151"/>
        <v>0</v>
      </c>
      <c r="X464" s="852">
        <f t="shared" si="1151"/>
        <v>0</v>
      </c>
      <c r="Y464" s="852">
        <f t="shared" si="1151"/>
        <v>0</v>
      </c>
      <c r="Z464" s="852">
        <f t="shared" si="1151"/>
        <v>0</v>
      </c>
      <c r="AA464" s="852">
        <f t="shared" si="1151"/>
        <v>0</v>
      </c>
      <c r="AB464" s="852">
        <f t="shared" si="1151"/>
        <v>0</v>
      </c>
      <c r="AC464" s="852">
        <f t="shared" si="1151"/>
        <v>0</v>
      </c>
      <c r="AD464" s="852">
        <f t="shared" si="1151"/>
        <v>0</v>
      </c>
      <c r="AE464" s="852">
        <f t="shared" si="1151"/>
        <v>0</v>
      </c>
      <c r="AF464" s="852">
        <f t="shared" si="1151"/>
        <v>0</v>
      </c>
      <c r="AG464" s="852">
        <f t="shared" si="1151"/>
        <v>0</v>
      </c>
      <c r="AH464" s="852">
        <f t="shared" si="1151"/>
        <v>0</v>
      </c>
      <c r="AI464" s="852">
        <f t="shared" si="1151"/>
        <v>0</v>
      </c>
      <c r="AJ464" s="852">
        <f t="shared" si="1151"/>
        <v>0</v>
      </c>
      <c r="AK464" s="852">
        <f t="shared" si="1151"/>
        <v>0</v>
      </c>
      <c r="AL464" s="852">
        <f t="shared" si="1151"/>
        <v>0</v>
      </c>
      <c r="AM464" s="852">
        <f t="shared" si="1151"/>
        <v>0</v>
      </c>
      <c r="AN464" s="852">
        <f t="shared" si="1151"/>
        <v>0</v>
      </c>
      <c r="AO464" s="852">
        <f t="shared" si="1151"/>
        <v>0</v>
      </c>
      <c r="AP464" s="852">
        <f t="shared" si="1151"/>
        <v>0</v>
      </c>
      <c r="AQ464" s="852">
        <f t="shared" si="1151"/>
        <v>0</v>
      </c>
      <c r="AR464" s="852">
        <f t="shared" si="1152" ref="AR464:AW464">ROUND(INDEX(MO_II_NetII,0,COLUMN())-INDEX(MO_RIS_NetII,0,COLUMN()),6)</f>
        <v>0</v>
      </c>
      <c r="AS464" s="852">
        <f t="shared" si="1152"/>
        <v>0</v>
      </c>
      <c r="AT464" s="852">
        <f t="shared" si="1152"/>
        <v>0</v>
      </c>
      <c r="AU464" s="852">
        <f t="shared" si="1152"/>
        <v>0</v>
      </c>
      <c r="AV464" s="852">
        <f t="shared" si="1152"/>
        <v>0</v>
      </c>
      <c r="AW464" s="852">
        <f t="shared" si="1152"/>
        <v>0</v>
      </c>
      <c r="AX464" s="852">
        <f t="shared" si="1153" ref="AX464:BJ464">ROUND(INDEX(MO_II_NetII,0,COLUMN())-INDEX(MO_RIS_NetII,0,COLUMN()),6)</f>
        <v>0</v>
      </c>
      <c r="AY464" s="852">
        <f t="shared" si="1153"/>
        <v>0</v>
      </c>
      <c r="AZ464" s="852">
        <f t="shared" si="1153"/>
        <v>0</v>
      </c>
      <c r="BA464" s="852">
        <f t="shared" si="1154" ref="BA464:BI464">ROUND(INDEX(MO_II_NetII,0,COLUMN())-INDEX(MO_RIS_NetII,0,COLUMN()),6)</f>
        <v>0</v>
      </c>
      <c r="BB464" s="852">
        <f t="shared" si="1154"/>
        <v>0</v>
      </c>
      <c r="BC464" s="852">
        <f t="shared" si="1154"/>
        <v>0</v>
      </c>
      <c r="BD464" s="852">
        <f t="shared" si="1154"/>
        <v>0</v>
      </c>
      <c r="BE464" s="852">
        <f t="shared" si="1154"/>
        <v>0</v>
      </c>
      <c r="BF464" s="852">
        <f>ROUND(INDEX(MO_II_NetII,0,COLUMN())-INDEX(MO_RIS_NetII,0,COLUMN()),6)</f>
        <v>0</v>
      </c>
      <c r="BG464" s="852">
        <f>ROUND(INDEX(MO_II_NetII,0,COLUMN())-INDEX(MO_RIS_NetII,0,COLUMN()),6)</f>
        <v>0</v>
      </c>
      <c r="BH464" s="853">
        <f>ROUND(INDEX(MO_II_NetII,0,COLUMN())-INDEX(MO_RIS_NetII,0,COLUMN()),6)</f>
        <v>0</v>
      </c>
      <c r="BI464" s="852">
        <f t="shared" si="1154"/>
        <v>0</v>
      </c>
      <c r="BJ464" s="852">
        <f t="shared" si="1153"/>
        <v>0</v>
      </c>
      <c r="BK464" s="852">
        <f t="shared" si="1155" ref="BK464:BR464">ROUND(INDEX(MO_II_NetII,0,COLUMN())-INDEX(MO_RIS_NetII,0,COLUMN()),6)</f>
        <v>0</v>
      </c>
      <c r="BL464" s="852">
        <f t="shared" si="1155"/>
        <v>0</v>
      </c>
      <c r="BM464" s="852">
        <f t="shared" si="1155"/>
        <v>0</v>
      </c>
      <c r="BN464" s="852">
        <f t="shared" si="1155"/>
        <v>0</v>
      </c>
      <c r="BO464" s="852">
        <f t="shared" si="1155"/>
        <v>0</v>
      </c>
      <c r="BP464" s="852">
        <f t="shared" si="1155"/>
        <v>0</v>
      </c>
      <c r="BQ464" s="852">
        <f t="shared" si="1155"/>
        <v>0</v>
      </c>
      <c r="BR464" s="852">
        <f t="shared" si="1155"/>
        <v>0</v>
      </c>
      <c r="BS464" s="816"/>
    </row>
    <row r="465" spans="1:71" s="223" customFormat="1" ht="15">
      <c r="A465" s="816" t="s">
        <v>184</v>
      </c>
      <c r="B465" s="527"/>
      <c r="C465" s="852">
        <f t="shared" si="1156" ref="C465:AH465">ROUND(INDEX(MO_FPB_FPB,0,COLUMN())-C437,6)</f>
        <v>0</v>
      </c>
      <c r="D465" s="852">
        <f t="shared" si="1156"/>
        <v>0</v>
      </c>
      <c r="E465" s="852">
        <f t="shared" si="1156"/>
        <v>0</v>
      </c>
      <c r="F465" s="852">
        <f t="shared" si="1156"/>
        <v>0</v>
      </c>
      <c r="G465" s="852">
        <f t="shared" si="1156"/>
        <v>0</v>
      </c>
      <c r="H465" s="852">
        <f t="shared" si="1156"/>
        <v>0</v>
      </c>
      <c r="I465" s="852">
        <f t="shared" si="1156"/>
        <v>0</v>
      </c>
      <c r="J465" s="852">
        <f t="shared" si="1156"/>
        <v>0</v>
      </c>
      <c r="K465" s="852">
        <f t="shared" si="1156"/>
        <v>0</v>
      </c>
      <c r="L465" s="852">
        <f t="shared" si="1156"/>
        <v>0</v>
      </c>
      <c r="M465" s="852">
        <f t="shared" si="1156"/>
        <v>0</v>
      </c>
      <c r="N465" s="852">
        <f t="shared" si="1156"/>
        <v>0</v>
      </c>
      <c r="O465" s="852">
        <f t="shared" si="1156"/>
        <v>0</v>
      </c>
      <c r="P465" s="852">
        <f t="shared" si="1156"/>
        <v>0</v>
      </c>
      <c r="Q465" s="852">
        <f t="shared" si="1156"/>
        <v>0</v>
      </c>
      <c r="R465" s="852">
        <f t="shared" si="1156"/>
        <v>0</v>
      </c>
      <c r="S465" s="852">
        <f t="shared" si="1156"/>
        <v>0</v>
      </c>
      <c r="T465" s="852">
        <f t="shared" si="1156"/>
        <v>0</v>
      </c>
      <c r="U465" s="852">
        <f t="shared" si="1156"/>
        <v>0</v>
      </c>
      <c r="V465" s="852">
        <f t="shared" si="1156"/>
        <v>0</v>
      </c>
      <c r="W465" s="852">
        <f t="shared" si="1156"/>
        <v>0</v>
      </c>
      <c r="X465" s="852">
        <f t="shared" si="1156"/>
        <v>0</v>
      </c>
      <c r="Y465" s="852">
        <f t="shared" si="1156"/>
        <v>0</v>
      </c>
      <c r="Z465" s="852">
        <f t="shared" si="1156"/>
        <v>0</v>
      </c>
      <c r="AA465" s="852">
        <f t="shared" si="1156"/>
        <v>0</v>
      </c>
      <c r="AB465" s="852">
        <f t="shared" si="1156"/>
        <v>0</v>
      </c>
      <c r="AC465" s="852">
        <f t="shared" si="1156"/>
        <v>0</v>
      </c>
      <c r="AD465" s="852">
        <f t="shared" si="1156"/>
        <v>0</v>
      </c>
      <c r="AE465" s="852">
        <f t="shared" si="1156"/>
        <v>0</v>
      </c>
      <c r="AF465" s="852">
        <f t="shared" si="1156"/>
        <v>0</v>
      </c>
      <c r="AG465" s="852">
        <f t="shared" si="1156"/>
        <v>0</v>
      </c>
      <c r="AH465" s="852">
        <f t="shared" si="1156"/>
        <v>0</v>
      </c>
      <c r="AI465" s="852">
        <f t="shared" si="1157" ref="AI465:BJ465">ROUND(INDEX(MO_FPB_FPB,0,COLUMN())-AI437,6)</f>
        <v>0</v>
      </c>
      <c r="AJ465" s="852">
        <f t="shared" si="1157"/>
        <v>0</v>
      </c>
      <c r="AK465" s="852">
        <f t="shared" si="1157"/>
        <v>0</v>
      </c>
      <c r="AL465" s="852">
        <f t="shared" si="1157"/>
        <v>0</v>
      </c>
      <c r="AM465" s="852">
        <f t="shared" si="1157"/>
        <v>0</v>
      </c>
      <c r="AN465" s="852">
        <f t="shared" si="1157"/>
        <v>0</v>
      </c>
      <c r="AO465" s="852">
        <f t="shared" si="1157"/>
        <v>0</v>
      </c>
      <c r="AP465" s="852">
        <f t="shared" si="1157"/>
        <v>0</v>
      </c>
      <c r="AQ465" s="852">
        <f t="shared" si="1157"/>
        <v>0</v>
      </c>
      <c r="AR465" s="852">
        <f t="shared" si="1157"/>
        <v>0</v>
      </c>
      <c r="AS465" s="852">
        <f t="shared" si="1157"/>
        <v>0</v>
      </c>
      <c r="AT465" s="852">
        <f t="shared" si="1157"/>
        <v>0</v>
      </c>
      <c r="AU465" s="852">
        <f t="shared" si="1157"/>
        <v>0</v>
      </c>
      <c r="AV465" s="852">
        <f t="shared" si="1157"/>
        <v>0</v>
      </c>
      <c r="AW465" s="852">
        <f t="shared" si="1157"/>
        <v>0</v>
      </c>
      <c r="AX465" s="852">
        <f t="shared" si="1157"/>
        <v>0</v>
      </c>
      <c r="AY465" s="852">
        <f t="shared" si="1157"/>
        <v>0</v>
      </c>
      <c r="AZ465" s="852">
        <f t="shared" si="1157"/>
        <v>0</v>
      </c>
      <c r="BA465" s="852">
        <f t="shared" si="1158" ref="BA465:BI465">ROUND(INDEX(MO_FPB_FPB,0,COLUMN())-BA437,6)</f>
        <v>0</v>
      </c>
      <c r="BB465" s="852">
        <f t="shared" si="1158"/>
        <v>0</v>
      </c>
      <c r="BC465" s="852">
        <f t="shared" si="1158"/>
        <v>0</v>
      </c>
      <c r="BD465" s="852">
        <f t="shared" si="1158"/>
        <v>0</v>
      </c>
      <c r="BE465" s="852">
        <f t="shared" si="1158"/>
        <v>0</v>
      </c>
      <c r="BF465" s="852">
        <f>ROUND(INDEX(MO_FPB_FPB,0,COLUMN())-BF437,6)</f>
        <v>0</v>
      </c>
      <c r="BG465" s="852">
        <f>ROUND(INDEX(MO_FPB_FPB,0,COLUMN())-BG437,6)</f>
        <v>0</v>
      </c>
      <c r="BH465" s="853">
        <f>ROUND(INDEX(MO_FPB_FPB,0,COLUMN())-BH437,6)</f>
        <v>0</v>
      </c>
      <c r="BI465" s="852">
        <f t="shared" si="1158"/>
        <v>0</v>
      </c>
      <c r="BJ465" s="852">
        <f t="shared" si="1157"/>
        <v>0</v>
      </c>
      <c r="BK465" s="852">
        <f t="shared" si="1159" ref="BK465:BR465">ROUND(INDEX(MO_FPB_FPB,0,COLUMN())-BK437,6)</f>
        <v>0</v>
      </c>
      <c r="BL465" s="852">
        <f t="shared" si="1159"/>
        <v>0</v>
      </c>
      <c r="BM465" s="852">
        <f t="shared" si="1159"/>
        <v>0</v>
      </c>
      <c r="BN465" s="852">
        <f t="shared" si="1159"/>
        <v>0</v>
      </c>
      <c r="BO465" s="852">
        <f t="shared" si="1159"/>
        <v>0</v>
      </c>
      <c r="BP465" s="852">
        <f t="shared" si="1159"/>
        <v>0</v>
      </c>
      <c r="BQ465" s="852">
        <f t="shared" si="1159"/>
        <v>0</v>
      </c>
      <c r="BR465" s="852">
        <f t="shared" si="1159"/>
        <v>0</v>
      </c>
      <c r="BS465" s="816"/>
    </row>
    <row r="466" spans="1:71" s="223" customFormat="1" ht="15">
      <c r="A466" s="816" t="s">
        <v>185</v>
      </c>
      <c r="B466" s="527"/>
      <c r="C466" s="852">
        <f t="shared" si="1160" ref="C466:AM466">ROUND(INDEX(MO_II_TotalInvestments,0,COLUMN())-C424+C423,6)</f>
        <v>0</v>
      </c>
      <c r="D466" s="852">
        <f t="shared" si="1160"/>
        <v>0</v>
      </c>
      <c r="E466" s="852">
        <f t="shared" si="1160"/>
        <v>0</v>
      </c>
      <c r="F466" s="852">
        <f t="shared" si="1160"/>
        <v>0</v>
      </c>
      <c r="G466" s="852">
        <f t="shared" si="1160"/>
        <v>0</v>
      </c>
      <c r="H466" s="852">
        <f t="shared" si="1160"/>
        <v>0</v>
      </c>
      <c r="I466" s="852">
        <f t="shared" si="1160"/>
        <v>0</v>
      </c>
      <c r="J466" s="852">
        <f t="shared" si="1160"/>
        <v>0</v>
      </c>
      <c r="K466" s="852">
        <f t="shared" si="1160"/>
        <v>0</v>
      </c>
      <c r="L466" s="852">
        <f t="shared" si="1160"/>
        <v>0</v>
      </c>
      <c r="M466" s="852">
        <f t="shared" si="1160"/>
        <v>0</v>
      </c>
      <c r="N466" s="852">
        <f t="shared" si="1160"/>
        <v>0</v>
      </c>
      <c r="O466" s="852">
        <f t="shared" si="1160"/>
        <v>0</v>
      </c>
      <c r="P466" s="852">
        <f t="shared" si="1160"/>
        <v>0</v>
      </c>
      <c r="Q466" s="852">
        <f t="shared" si="1160"/>
        <v>0</v>
      </c>
      <c r="R466" s="852">
        <f t="shared" si="1160"/>
        <v>0</v>
      </c>
      <c r="S466" s="852">
        <f t="shared" si="1160"/>
        <v>0</v>
      </c>
      <c r="T466" s="852">
        <f t="shared" si="1160"/>
        <v>0</v>
      </c>
      <c r="U466" s="852">
        <f t="shared" si="1160"/>
        <v>0</v>
      </c>
      <c r="V466" s="852">
        <f t="shared" si="1160"/>
        <v>0</v>
      </c>
      <c r="W466" s="852">
        <f t="shared" si="1160"/>
        <v>0</v>
      </c>
      <c r="X466" s="852">
        <f t="shared" si="1160"/>
        <v>0</v>
      </c>
      <c r="Y466" s="852">
        <f t="shared" si="1160"/>
        <v>0</v>
      </c>
      <c r="Z466" s="852">
        <f t="shared" si="1160"/>
        <v>0</v>
      </c>
      <c r="AA466" s="852">
        <f t="shared" si="1160"/>
        <v>0</v>
      </c>
      <c r="AB466" s="852">
        <f t="shared" si="1160"/>
        <v>0</v>
      </c>
      <c r="AC466" s="852">
        <f t="shared" si="1160"/>
        <v>0</v>
      </c>
      <c r="AD466" s="852">
        <f t="shared" si="1160"/>
        <v>0</v>
      </c>
      <c r="AE466" s="852">
        <f t="shared" si="1160"/>
        <v>0</v>
      </c>
      <c r="AF466" s="852">
        <f t="shared" si="1160"/>
        <v>0</v>
      </c>
      <c r="AG466" s="852">
        <f t="shared" si="1160"/>
        <v>0</v>
      </c>
      <c r="AH466" s="852">
        <f t="shared" si="1160"/>
        <v>0</v>
      </c>
      <c r="AI466" s="852">
        <f t="shared" si="1160"/>
        <v>0</v>
      </c>
      <c r="AJ466" s="852">
        <f t="shared" si="1160"/>
        <v>0</v>
      </c>
      <c r="AK466" s="852">
        <f t="shared" si="1160"/>
        <v>0</v>
      </c>
      <c r="AL466" s="852">
        <f t="shared" si="1160"/>
        <v>0</v>
      </c>
      <c r="AM466" s="852">
        <f t="shared" si="1160"/>
        <v>0</v>
      </c>
      <c r="AN466" s="852">
        <f t="shared" si="1161" ref="AN466:AQ466">ROUND(INDEX(MO_II_TotalInvestments,0,COLUMN())-AN424+AN423,6)</f>
        <v>0</v>
      </c>
      <c r="AO466" s="852">
        <f t="shared" si="1161"/>
        <v>0</v>
      </c>
      <c r="AP466" s="852">
        <f t="shared" si="1161"/>
        <v>0</v>
      </c>
      <c r="AQ466" s="852">
        <f t="shared" si="1161"/>
        <v>0</v>
      </c>
      <c r="AR466" s="852">
        <f t="shared" si="1162" ref="AR466:AW466">ROUND(INDEX(MO_II_TotalInvestments,0,COLUMN())-AR424+AR423,6)</f>
        <v>0</v>
      </c>
      <c r="AS466" s="852">
        <f t="shared" si="1162"/>
        <v>0</v>
      </c>
      <c r="AT466" s="852">
        <f t="shared" si="1162"/>
        <v>0</v>
      </c>
      <c r="AU466" s="852">
        <f t="shared" si="1162"/>
        <v>0</v>
      </c>
      <c r="AV466" s="852">
        <f t="shared" si="1162"/>
        <v>0</v>
      </c>
      <c r="AW466" s="852">
        <f t="shared" si="1162"/>
        <v>0</v>
      </c>
      <c r="AX466" s="852">
        <f t="shared" si="1163" ref="AX466:BJ466">ROUND(INDEX(MO_II_TotalInvestments,0,COLUMN())-AX424+AX423,6)</f>
        <v>0</v>
      </c>
      <c r="AY466" s="852">
        <f t="shared" si="1163"/>
        <v>0</v>
      </c>
      <c r="AZ466" s="852">
        <f t="shared" si="1163"/>
        <v>0</v>
      </c>
      <c r="BA466" s="852">
        <f t="shared" si="1164" ref="BA466:BI466">ROUND(INDEX(MO_II_TotalInvestments,0,COLUMN())-BA424+BA423,6)</f>
        <v>0</v>
      </c>
      <c r="BB466" s="852">
        <f t="shared" si="1164"/>
        <v>0</v>
      </c>
      <c r="BC466" s="852">
        <f t="shared" si="1164"/>
        <v>0</v>
      </c>
      <c r="BD466" s="852">
        <f t="shared" si="1164"/>
        <v>0</v>
      </c>
      <c r="BE466" s="852">
        <f t="shared" si="1164"/>
        <v>0</v>
      </c>
      <c r="BF466" s="852">
        <f>ROUND(INDEX(MO_II_TotalInvestments,0,COLUMN())-BF424+BF423,6)</f>
        <v>0</v>
      </c>
      <c r="BG466" s="852">
        <f>ROUND(INDEX(MO_II_TotalInvestments,0,COLUMN())-BG424+BG423,6)</f>
        <v>0</v>
      </c>
      <c r="BH466" s="853">
        <f>ROUND(INDEX(MO_II_TotalInvestments,0,COLUMN())-BH424+BH423,6)</f>
        <v>0</v>
      </c>
      <c r="BI466" s="852">
        <f t="shared" ca="1" si="1164"/>
        <v>0</v>
      </c>
      <c r="BJ466" s="852">
        <f t="shared" ca="1" si="1163"/>
        <v>0</v>
      </c>
      <c r="BK466" s="852">
        <f ca="1" t="shared" si="1165" ref="BK466:BR466">ROUND(INDEX(MO_II_TotalInvestments,0,COLUMN())-BK424+BK423,6)</f>
        <v>0</v>
      </c>
      <c r="BL466" s="852">
        <f t="shared" ca="1" si="1165"/>
        <v>0</v>
      </c>
      <c r="BM466" s="852">
        <f t="shared" ca="1" si="1165"/>
        <v>0</v>
      </c>
      <c r="BN466" s="852">
        <f t="shared" ca="1" si="1165"/>
        <v>0</v>
      </c>
      <c r="BO466" s="852">
        <f t="shared" ca="1" si="1165"/>
        <v>0</v>
      </c>
      <c r="BP466" s="852">
        <f t="shared" ca="1" si="1165"/>
        <v>0</v>
      </c>
      <c r="BQ466" s="852">
        <f t="shared" ca="1" si="1165"/>
        <v>0</v>
      </c>
      <c r="BR466" s="852">
        <f t="shared" ca="1" si="1165"/>
        <v>0</v>
      </c>
      <c r="BS466" s="816"/>
    </row>
    <row r="467" spans="1:71" s="223" customFormat="1" ht="15">
      <c r="A467" s="816" t="s">
        <v>186</v>
      </c>
      <c r="B467" s="527"/>
      <c r="C467" s="852">
        <f t="shared" si="1166" ref="C467:AM467">IF(C418&lt;0,"CHECK",0)</f>
        <v>0</v>
      </c>
      <c r="D467" s="852">
        <f t="shared" si="1166"/>
        <v>0</v>
      </c>
      <c r="E467" s="852">
        <f t="shared" si="1166"/>
        <v>0</v>
      </c>
      <c r="F467" s="852">
        <f t="shared" si="1166"/>
        <v>0</v>
      </c>
      <c r="G467" s="852">
        <f t="shared" si="1166"/>
        <v>0</v>
      </c>
      <c r="H467" s="852">
        <f t="shared" si="1166"/>
        <v>0</v>
      </c>
      <c r="I467" s="852">
        <f t="shared" si="1166"/>
        <v>0</v>
      </c>
      <c r="J467" s="852">
        <f t="shared" si="1166"/>
        <v>0</v>
      </c>
      <c r="K467" s="852">
        <f t="shared" si="1166"/>
        <v>0</v>
      </c>
      <c r="L467" s="852">
        <f t="shared" si="1166"/>
        <v>0</v>
      </c>
      <c r="M467" s="852">
        <f t="shared" si="1166"/>
        <v>0</v>
      </c>
      <c r="N467" s="852">
        <f t="shared" si="1166"/>
        <v>0</v>
      </c>
      <c r="O467" s="852">
        <f t="shared" si="1166"/>
        <v>0</v>
      </c>
      <c r="P467" s="852">
        <f t="shared" si="1166"/>
        <v>0</v>
      </c>
      <c r="Q467" s="852">
        <f t="shared" si="1166"/>
        <v>0</v>
      </c>
      <c r="R467" s="852">
        <f t="shared" si="1166"/>
        <v>0</v>
      </c>
      <c r="S467" s="852">
        <f t="shared" si="1166"/>
        <v>0</v>
      </c>
      <c r="T467" s="852">
        <f t="shared" si="1166"/>
        <v>0</v>
      </c>
      <c r="U467" s="852">
        <f t="shared" si="1166"/>
        <v>0</v>
      </c>
      <c r="V467" s="852">
        <f t="shared" si="1166"/>
        <v>0</v>
      </c>
      <c r="W467" s="852">
        <f t="shared" si="1166"/>
        <v>0</v>
      </c>
      <c r="X467" s="852">
        <f t="shared" si="1166"/>
        <v>0</v>
      </c>
      <c r="Y467" s="852">
        <f t="shared" si="1166"/>
        <v>0</v>
      </c>
      <c r="Z467" s="852">
        <f t="shared" si="1166"/>
        <v>0</v>
      </c>
      <c r="AA467" s="852">
        <f t="shared" si="1166"/>
        <v>0</v>
      </c>
      <c r="AB467" s="852">
        <f t="shared" si="1166"/>
        <v>0</v>
      </c>
      <c r="AC467" s="852">
        <f t="shared" si="1166"/>
        <v>0</v>
      </c>
      <c r="AD467" s="852">
        <f t="shared" si="1166"/>
        <v>0</v>
      </c>
      <c r="AE467" s="852">
        <f t="shared" si="1166"/>
        <v>0</v>
      </c>
      <c r="AF467" s="852">
        <f t="shared" si="1166"/>
        <v>0</v>
      </c>
      <c r="AG467" s="852">
        <f t="shared" si="1166"/>
        <v>0</v>
      </c>
      <c r="AH467" s="852">
        <f t="shared" si="1166"/>
        <v>0</v>
      </c>
      <c r="AI467" s="852">
        <f t="shared" si="1166"/>
        <v>0</v>
      </c>
      <c r="AJ467" s="852">
        <f t="shared" si="1166"/>
        <v>0</v>
      </c>
      <c r="AK467" s="852">
        <f t="shared" si="1166"/>
        <v>0</v>
      </c>
      <c r="AL467" s="852">
        <f t="shared" si="1166"/>
        <v>0</v>
      </c>
      <c r="AM467" s="852">
        <f t="shared" si="1166"/>
        <v>0</v>
      </c>
      <c r="AN467" s="852">
        <f t="shared" si="1167" ref="AN467:AQ467">IF(AN418&lt;0,"CHECK",0)</f>
        <v>0</v>
      </c>
      <c r="AO467" s="852">
        <f t="shared" si="1167"/>
        <v>0</v>
      </c>
      <c r="AP467" s="852">
        <f t="shared" si="1167"/>
        <v>0</v>
      </c>
      <c r="AQ467" s="852">
        <f t="shared" si="1167"/>
        <v>0</v>
      </c>
      <c r="AR467" s="852">
        <f t="shared" si="1168" ref="AR467:AW467">IF(AR418&lt;0,"CHECK",0)</f>
        <v>0</v>
      </c>
      <c r="AS467" s="852">
        <f t="shared" si="1168"/>
        <v>0</v>
      </c>
      <c r="AT467" s="852">
        <f t="shared" si="1168"/>
        <v>0</v>
      </c>
      <c r="AU467" s="852">
        <f t="shared" si="1168"/>
        <v>0</v>
      </c>
      <c r="AV467" s="852">
        <f t="shared" si="1168"/>
        <v>0</v>
      </c>
      <c r="AW467" s="852">
        <f t="shared" si="1168"/>
        <v>0</v>
      </c>
      <c r="AX467" s="852">
        <f t="shared" si="1169" ref="AX467:BJ467">IF(AX418&lt;0,"CHECK",0)</f>
        <v>0</v>
      </c>
      <c r="AY467" s="852">
        <f t="shared" si="1169"/>
        <v>0</v>
      </c>
      <c r="AZ467" s="852">
        <f t="shared" si="1169"/>
        <v>0</v>
      </c>
      <c r="BA467" s="852">
        <f t="shared" si="1170" ref="BA467:BI467">IF(BA418&lt;0,"CHECK",0)</f>
        <v>0</v>
      </c>
      <c r="BB467" s="852">
        <f t="shared" si="1170"/>
        <v>0</v>
      </c>
      <c r="BC467" s="852">
        <f t="shared" si="1170"/>
        <v>0</v>
      </c>
      <c r="BD467" s="852">
        <f t="shared" si="1170"/>
        <v>0</v>
      </c>
      <c r="BE467" s="852">
        <f t="shared" si="1170"/>
        <v>0</v>
      </c>
      <c r="BF467" s="852">
        <f>IF(BF418&lt;0,"CHECK",0)</f>
        <v>0</v>
      </c>
      <c r="BG467" s="852">
        <f>IF(BG418&lt;0,"CHECK",0)</f>
        <v>0</v>
      </c>
      <c r="BH467" s="853">
        <f>IF(BH418&lt;0,"CHECK",0)</f>
        <v>0</v>
      </c>
      <c r="BI467" s="852">
        <f t="shared" si="1170"/>
        <v>0</v>
      </c>
      <c r="BJ467" s="852">
        <f t="shared" si="1169"/>
        <v>0</v>
      </c>
      <c r="BK467" s="852">
        <f t="shared" si="1171" ref="BK467:BR467">IF(BK418&lt;0,"CHECK",0)</f>
        <v>0</v>
      </c>
      <c r="BL467" s="852">
        <f t="shared" si="1171"/>
        <v>0</v>
      </c>
      <c r="BM467" s="852">
        <f t="shared" si="1171"/>
        <v>0</v>
      </c>
      <c r="BN467" s="852">
        <f t="shared" si="1171"/>
        <v>0</v>
      </c>
      <c r="BO467" s="852">
        <f t="shared" si="1171"/>
        <v>0</v>
      </c>
      <c r="BP467" s="852">
        <f t="shared" si="1171"/>
        <v>0</v>
      </c>
      <c r="BQ467" s="852">
        <f t="shared" si="1171"/>
        <v>0</v>
      </c>
      <c r="BR467" s="852">
        <f t="shared" si="1171"/>
        <v>0</v>
      </c>
      <c r="BS467" s="816"/>
    </row>
    <row r="468" spans="1:71" s="223" customFormat="1" ht="15">
      <c r="A468" s="816" t="s">
        <v>187</v>
      </c>
      <c r="B468" s="527"/>
      <c r="C468" s="852">
        <f>IF(ISBLANK(INDEX(MO_IS_FirstRow,0,COLUMN())),0,IF(OR(C406=B406,C406=D406),"CHECK",0))</f>
        <v>0</v>
      </c>
      <c r="D468" s="852">
        <f>IF(ISBLANK(INDEX(MO_IS_FirstRow,0,COLUMN())),0,IF(OR(D406=C406,D406=E406),"CHECK",0))</f>
        <v>0</v>
      </c>
      <c r="E468" s="852">
        <f>IF(ISBLANK(INDEX(MO_IS_FirstRow,0,COLUMN())),0,IF(OR(E406=D406,E406=F406),"CHECK",0))</f>
        <v>0</v>
      </c>
      <c r="F468" s="852">
        <f>IF(ISBLANK(INDEX(MO_IS_FirstRow,0,COLUMN())),0,IF(OR(F406=E406,F406=G406),"CHECK",0))</f>
        <v>0</v>
      </c>
      <c r="G468" s="852">
        <f>IF(ISBLANK(INDEX(MO_IS_FirstRow,0,COLUMN())),0,IF(OR(G406=F406,G406=H406),"CHECK",0))</f>
        <v>0</v>
      </c>
      <c r="H468" s="852">
        <f>IF(ISBLANK(INDEX(MO_IS_FirstRow,0,COLUMN())),0,IF(OR(H406=C406,H406=I406,H406=F406),"CHECK",0))</f>
        <v>0</v>
      </c>
      <c r="I468" s="852">
        <f>IF(ISBLANK(INDEX(MO_IS_FirstRow,0,COLUMN())),0,IF(OR(I406=D406,I406=J406,I406=H406),"CHECK",0))</f>
        <v>0</v>
      </c>
      <c r="J468" s="852">
        <f>IF(ISBLANK(INDEX(MO_IS_FirstRow,0,COLUMN())),0,IF(OR(J406=E406,J406=K406,J406=I406),"CHECK",0))</f>
        <v>0</v>
      </c>
      <c r="K468" s="852">
        <f>IF(ISBLANK(INDEX(MO_IS_FirstRow,0,COLUMN())),0,IF(OR(K406=F406,K406=L406,K406=J406),"CHECK",0))</f>
        <v>0</v>
      </c>
      <c r="L468" s="852">
        <f>IF(ISBLANK(INDEX(MO_IS_FirstRow,0,COLUMN())),0,IF(L406=G406,"CHECK",0))</f>
        <v>0</v>
      </c>
      <c r="M468" s="852">
        <f>IF(ISBLANK(INDEX(MO_IS_FirstRow,0,COLUMN())),0,IF(OR(M406=H406,M406=N406,M406=K406),"CHECK",0))</f>
        <v>0</v>
      </c>
      <c r="N468" s="852">
        <f>IF(ISBLANK(INDEX(MO_IS_FirstRow,0,COLUMN())),0,IF(OR(N406=I406,N406=O406,N406=M406),"CHECK",0))</f>
        <v>0</v>
      </c>
      <c r="O468" s="852">
        <f>IF(ISBLANK(INDEX(MO_IS_FirstRow,0,COLUMN())),0,IF(OR(O406=J406,O406=P406,O406=N406),"CHECK",0))</f>
        <v>0</v>
      </c>
      <c r="P468" s="852">
        <f>IF(ISBLANK(INDEX(MO_IS_FirstRow,0,COLUMN())),0,IF(OR(P406=K406,P406=Q406,P406=O406),"CHECK",0))</f>
        <v>0</v>
      </c>
      <c r="Q468" s="852">
        <f>IF(ISBLANK(INDEX(MO_IS_FirstRow,0,COLUMN())),0,IF(Q406=L406,"CHECK",0))</f>
        <v>0</v>
      </c>
      <c r="R468" s="852">
        <f>IF(ISBLANK(INDEX(MO_IS_FirstRow,0,COLUMN())),0,IF(OR(R406=M406,R406=S406,R406=P406),"CHECK",0))</f>
        <v>0</v>
      </c>
      <c r="S468" s="852">
        <f>IF(ISBLANK(INDEX(MO_IS_FirstRow,0,COLUMN())),0,IF(OR(S406=N406,S406=T406,S406=R406),"CHECK",0))</f>
        <v>0</v>
      </c>
      <c r="T468" s="852">
        <f>IF(ISBLANK(INDEX(MO_IS_FirstRow,0,COLUMN())),0,IF(OR(T406=O406,T406=U406,T406=S406),"CHECK",0))</f>
        <v>0</v>
      </c>
      <c r="U468" s="852">
        <f>IF(ISBLANK(INDEX(MO_IS_FirstRow,0,COLUMN())),0,IF(OR(U406=P406,U406=V406,U406=T406),"CHECK",0))</f>
        <v>0</v>
      </c>
      <c r="V468" s="852">
        <f>IF(ISBLANK(INDEX(MO_IS_FirstRow,0,COLUMN())),0,IF(V406=Q406,"CHECK",0))</f>
        <v>0</v>
      </c>
      <c r="W468" s="852">
        <f>IF(ISBLANK(INDEX(MO_IS_FirstRow,0,COLUMN())),0,IF(OR(W406=R406,W406=X406,W406=U406),"CHECK",0))</f>
        <v>0</v>
      </c>
      <c r="X468" s="852">
        <f>IF(ISBLANK(INDEX(MO_IS_FirstRow,0,COLUMN())),0,IF(OR(X406=S406,X406=Y406,X406=W406),"CHECK",0))</f>
        <v>0</v>
      </c>
      <c r="Y468" s="852">
        <f>IF(ISBLANK(INDEX(MO_IS_FirstRow,0,COLUMN())),0,IF(OR(Y406=T406,Y406=Z406,Y406=X406),"CHECK",0))</f>
        <v>0</v>
      </c>
      <c r="Z468" s="852">
        <f>IF(ISBLANK(INDEX(MO_IS_FirstRow,0,COLUMN())),0,IF(OR(Z406=U406,Z406=AA406,Z406=Y406),"CHECK",0))</f>
        <v>0</v>
      </c>
      <c r="AA468" s="852">
        <f>IF(ISBLANK(INDEX(MO_IS_FirstRow,0,COLUMN())),0,IF(AA406=V406,"CHECK",0))</f>
        <v>0</v>
      </c>
      <c r="AB468" s="852">
        <f>IF(ISBLANK(INDEX(MO_IS_FirstRow,0,COLUMN())),0,IF(OR(AB406=W406,AB406=AC406,AB406=Z406),"CHECK",0))</f>
        <v>0</v>
      </c>
      <c r="AC468" s="852">
        <f>IF(ISBLANK(INDEX(MO_IS_FirstRow,0,COLUMN())),0,IF(OR(AC406=X406,AC406=AD406,AC406=AB406),"CHECK",0))</f>
        <v>0</v>
      </c>
      <c r="AD468" s="852">
        <f>IF(ISBLANK(INDEX(MO_IS_FirstRow,0,COLUMN())),0,IF(OR(AD406=Y406,AD406=AE406,AD406=AC406),"CHECK",0))</f>
        <v>0</v>
      </c>
      <c r="AE468" s="852">
        <f>IF(ISBLANK(INDEX(MO_IS_FirstRow,0,COLUMN())),0,IF(OR(AE406=Z406,AE406=AF406,AE406=AD406),"CHECK",0))</f>
        <v>0</v>
      </c>
      <c r="AF468" s="852">
        <f>IF(ISBLANK(INDEX(MO_IS_FirstRow,0,COLUMN())),0,IF(AF406=AA406,"CHECK",0))</f>
        <v>0</v>
      </c>
      <c r="AG468" s="852">
        <f>IF(ISBLANK(INDEX(MO_IS_FirstRow,0,COLUMN())),0,IF(OR(AG406=AB406,AG406=AH406,AG406=AE406),"CHECK",0))</f>
        <v>0</v>
      </c>
      <c r="AH468" s="852">
        <f>IF(ISBLANK(INDEX(MO_IS_FirstRow,0,COLUMN())),0,IF(OR(AH406=AC406,AH406=AI406,AH406=AG406),"CHECK",0))</f>
        <v>0</v>
      </c>
      <c r="AI468" s="852">
        <f>IF(ISBLANK(INDEX(MO_IS_FirstRow,0,COLUMN())),0,IF(OR(AI406=AD406,AI406=AJ406,AI406=AH406),"CHECK",0))</f>
        <v>0</v>
      </c>
      <c r="AJ468" s="852">
        <f>IF(ISBLANK(INDEX(MO_IS_FirstRow,0,COLUMN())),0,IF(OR(AJ406=AE406,AJ406=AK406,AJ406=AI406),"CHECK",0))</f>
        <v>0</v>
      </c>
      <c r="AK468" s="852">
        <f>IF(ISBLANK(INDEX(MO_IS_FirstRow,0,COLUMN())),0,IF(AK406=AF406,"CHECK",0))</f>
        <v>0</v>
      </c>
      <c r="AL468" s="852">
        <f>IF(ISBLANK(INDEX(MO_IS_FirstRow,0,COLUMN())),0,IF(OR(AL406=AG406,AL406=AM406,AL406=AJ406),"CHECK",0))</f>
        <v>0</v>
      </c>
      <c r="AM468" s="852">
        <f>IF(ISBLANK(INDEX(MO_IS_FirstRow,0,COLUMN())),0,IF(OR(AM406=AH406,AM406=AN406,AM406=AL406),"CHECK",0))</f>
        <v>0</v>
      </c>
      <c r="AN468" s="852">
        <f>IF(ISBLANK(INDEX(MO_IS_FirstRow,0,COLUMN())),0,IF(OR(AN406=AI406,AN406=AO406,AN406=AM406),"CHECK",0))</f>
        <v>0</v>
      </c>
      <c r="AO468" s="852">
        <f>IF(ISBLANK(INDEX(MO_IS_FirstRow,0,COLUMN())),0,IF(OR(AO406=AJ406,AO406=AP406,AO406=AN406),"CHECK",0))</f>
        <v>0</v>
      </c>
      <c r="AP468" s="852">
        <f>IF(ISBLANK(INDEX(MO_IS_FirstRow,0,COLUMN())),0,IF(AP406=AK406,"CHECK",0))</f>
        <v>0</v>
      </c>
      <c r="AQ468" s="852">
        <f>IF(ISBLANK(INDEX(MO_IS_FirstRow,0,COLUMN())),0,IF(OR(AQ406=AL406,AQ406=AR406,AQ406=AO406),"CHECK",0))</f>
        <v>0</v>
      </c>
      <c r="AR468" s="852">
        <f>IF(ISBLANK(INDEX(MO_IS_FirstRow,0,COLUMN())),0,IF(OR(AR406=AM406,AR406=AS406,AR406=AQ406),"CHECK",0))</f>
        <v>0</v>
      </c>
      <c r="AS468" s="852">
        <f>IF(ISBLANK(INDEX(MO_IS_FirstRow,0,COLUMN())),0,IF(OR(AS406=AN406,AS406=AT406,AS406=AR406),"CHECK",0))</f>
        <v>0</v>
      </c>
      <c r="AT468" s="852">
        <f>IF(ISBLANK(INDEX(MO_IS_FirstRow,0,COLUMN())),0,IF(OR(AT406=AO406,AT406=AU406,AT406=AS406),"CHECK",0))</f>
        <v>0</v>
      </c>
      <c r="AU468" s="852">
        <f>IF(ISBLANK(INDEX(MO_IS_FirstRow,0,COLUMN())),0,IF(AU406=AP406,"CHECK",0))</f>
        <v>0</v>
      </c>
      <c r="AV468" s="852">
        <f>IF(ISBLANK(INDEX(MO_IS_FirstRow,0,COLUMN())),0,IF(OR(AV406=AQ406,AV406=AW406,AV406=AT406),"CHECK",0))</f>
        <v>0</v>
      </c>
      <c r="AW468" s="852">
        <f>IF(ISBLANK(INDEX(MO_IS_FirstRow,0,COLUMN())),0,IF(OR(AW406=AR406,AW406=AX406,AW406=AV406),"CHECK",0))</f>
        <v>0</v>
      </c>
      <c r="AX468" s="852">
        <f>IF(ISBLANK(INDEX(MO_IS_FirstRow,0,COLUMN())),0,IF(OR(AX406=AS406,AX406=AY406,AX406=AW406),"CHECK",0))</f>
        <v>0</v>
      </c>
      <c r="AY468" s="852">
        <f>IF(ISBLANK(INDEX(MO_IS_FirstRow,0,COLUMN())),0,IF(OR(AY406=AT406,AY406=AZ406,AY406=AX406),"CHECK",0))</f>
        <v>0</v>
      </c>
      <c r="AZ468" s="852">
        <f>IF(ISBLANK(INDEX(MO_IS_FirstRow,0,COLUMN())),0,IF(AZ406=AU406,"CHECK",0))</f>
        <v>0</v>
      </c>
      <c r="BA468" s="852">
        <f>IF(ISBLANK(INDEX(MO_IS_FirstRow,0,COLUMN())),0,IF(OR(BA406=AV406,BA406=BB406,BA406=AY406),"CHECK",0))</f>
        <v>0</v>
      </c>
      <c r="BB468" s="852">
        <f>IF(ISBLANK(INDEX(MO_IS_FirstRow,0,COLUMN())),0,IF(OR(BB406=AW406,BB406=BC406,BB406=BA406),"CHECK",0))</f>
        <v>0</v>
      </c>
      <c r="BC468" s="852">
        <f>IF(ISBLANK(INDEX(MO_IS_FirstRow,0,COLUMN())),0,IF(OR(BC406=AX406,BC406=BD406,BC406=BB406),"CHECK",0))</f>
        <v>0</v>
      </c>
      <c r="BD468" s="852">
        <f>IF(ISBLANK(INDEX(MO_IS_FirstRow,0,COLUMN())),0,IF(OR(BD406=AY406,BD406=BE406,BD406=BC406),"CHECK",0))</f>
        <v>0</v>
      </c>
      <c r="BE468" s="852">
        <f>IF(ISBLANK(INDEX(MO_IS_FirstRow,0,COLUMN())),0,IF(BE406=AZ406,"CHECK",0))</f>
        <v>0</v>
      </c>
      <c r="BF468" s="852">
        <f>IF(ISBLANK(INDEX(MO_IS_FirstRow,0,COLUMN())),0,IF(OR(BF406=BA406,BF406=BG406,BF406=BD406),"CHECK",0))</f>
        <v>0</v>
      </c>
      <c r="BG468" s="852">
        <f>IF(ISBLANK(INDEX(MO_IS_FirstRow,0,COLUMN())),0,IF(OR(BG406=BB406,BG406=BH406,BG406=BF406),"CHECK",0))</f>
        <v>0</v>
      </c>
      <c r="BH468" s="853">
        <f ca="1">IF(ISBLANK(INDEX(MO_IS_FirstRow,0,COLUMN())),0,IF(OR(BH406=BC406,BH406=BI406,BH406=BG406),"CHECK",0))</f>
        <v>0</v>
      </c>
      <c r="BI468" s="852"/>
      <c r="BJ468" s="852"/>
      <c r="BK468" s="852"/>
      <c r="BL468" s="852"/>
      <c r="BM468" s="852"/>
      <c r="BN468" s="852"/>
      <c r="BO468" s="852"/>
      <c r="BP468" s="852"/>
      <c r="BQ468" s="852"/>
      <c r="BR468" s="852"/>
      <c r="BS468" s="816"/>
    </row>
    <row r="469" spans="1:71" s="223" customFormat="1" ht="15">
      <c r="A469" s="816" t="s">
        <v>188</v>
      </c>
      <c r="B469" s="527"/>
      <c r="C469" s="852">
        <f>IF(ISBLANK(INDEX(MO_IS_FirstRow,0,COLUMN())),0,IF(OR(C217=B217,C217=D217),"CHECK",0))</f>
        <v>0</v>
      </c>
      <c r="D469" s="852">
        <f>IF(ISBLANK(INDEX(MO_IS_FirstRow,0,COLUMN())),0,IF(OR(D217=C217,D217=E217),"CHECK",0))</f>
        <v>0</v>
      </c>
      <c r="E469" s="852">
        <f>IF(ISBLANK(INDEX(MO_IS_FirstRow,0,COLUMN())),0,IF(OR(E217=D217,E217=F217),"CHECK",0))</f>
        <v>0</v>
      </c>
      <c r="F469" s="852">
        <f>IF(ISBLANK(INDEX(MO_IS_FirstRow,0,COLUMN())),0,IF(OR(F217=E217,F217=G217),"CHECK",0))</f>
        <v>0</v>
      </c>
      <c r="G469" s="852">
        <f>IF(ISBLANK(INDEX(MO_IS_FirstRow,0,COLUMN())),0,IF(OR(G217=F217,G217=H217),"CHECK",0))</f>
        <v>0</v>
      </c>
      <c r="H469" s="852">
        <f>IF(ISBLANK(INDEX(MO_IS_FirstRow,0,COLUMN())),0,IF(OR(H217=C217,H217=I217,H217=F217),"CHECK",0))</f>
        <v>0</v>
      </c>
      <c r="I469" s="852">
        <f>IF(ISBLANK(INDEX(MO_IS_FirstRow,0,COLUMN())),0,IF(OR(I217=D217,I217=J217,I217=H217),"CHECK",0))</f>
        <v>0</v>
      </c>
      <c r="J469" s="852">
        <f>IF(ISBLANK(INDEX(MO_IS_FirstRow,0,COLUMN())),0,IF(OR(J217=E217,J217=K217,J217=I217),"CHECK",0))</f>
        <v>0</v>
      </c>
      <c r="K469" s="852">
        <f>IF(ISBLANK(INDEX(MO_IS_FirstRow,0,COLUMN())),0,IF(OR(K217=F217,K217=L217,K217=J217),"CHECK",0))</f>
        <v>0</v>
      </c>
      <c r="L469" s="852">
        <f>IF(ISBLANK(INDEX(MO_IS_FirstRow,0,COLUMN())),0,IF(L217=G217,"CHECK",0))</f>
        <v>0</v>
      </c>
      <c r="M469" s="852">
        <f>IF(ISBLANK(INDEX(MO_IS_FirstRow,0,COLUMN())),0,IF(OR(M217=H217,M217=N217,M217=K217),"CHECK",0))</f>
        <v>0</v>
      </c>
      <c r="N469" s="852">
        <f>IF(ISBLANK(INDEX(MO_IS_FirstRow,0,COLUMN())),0,IF(OR(N217=I217,N217=O217,N217=M217),"CHECK",0))</f>
        <v>0</v>
      </c>
      <c r="O469" s="852">
        <f>IF(ISBLANK(INDEX(MO_IS_FirstRow,0,COLUMN())),0,IF(OR(O217=J217,O217=P217,O217=N217),"CHECK",0))</f>
        <v>0</v>
      </c>
      <c r="P469" s="852">
        <f>IF(ISBLANK(INDEX(MO_IS_FirstRow,0,COLUMN())),0,IF(OR(P217=K217,P217=Q217,P217=O217),"CHECK",0))</f>
        <v>0</v>
      </c>
      <c r="Q469" s="852">
        <f>IF(ISBLANK(INDEX(MO_IS_FirstRow,0,COLUMN())),0,IF(Q217=L217,"CHECK",0))</f>
        <v>0</v>
      </c>
      <c r="R469" s="852">
        <f>IF(ISBLANK(INDEX(MO_IS_FirstRow,0,COLUMN())),0,IF(OR(R217=M217,R217=S217,R217=P217),"CHECK",0))</f>
        <v>0</v>
      </c>
      <c r="S469" s="852">
        <f>IF(ISBLANK(INDEX(MO_IS_FirstRow,0,COLUMN())),0,IF(OR(S217=N217,S217=T217,S217=R217),"CHECK",0))</f>
        <v>0</v>
      </c>
      <c r="T469" s="852">
        <f>IF(ISBLANK(INDEX(MO_IS_FirstRow,0,COLUMN())),0,IF(OR(T217=O217,T217=U217,T217=S217),"CHECK",0))</f>
        <v>0</v>
      </c>
      <c r="U469" s="852">
        <f>IF(ISBLANK(INDEX(MO_IS_FirstRow,0,COLUMN())),0,IF(OR(U217=P217,U217=V217,U217=T217),"CHECK",0))</f>
        <v>0</v>
      </c>
      <c r="V469" s="852">
        <f>IF(ISBLANK(INDEX(MO_IS_FirstRow,0,COLUMN())),0,IF(V217=Q217,"CHECK",0))</f>
        <v>0</v>
      </c>
      <c r="W469" s="852">
        <f>IF(ISBLANK(INDEX(MO_IS_FirstRow,0,COLUMN())),0,IF(OR(W217=R217,W217=X217,W217=U217),"CHECK",0))</f>
        <v>0</v>
      </c>
      <c r="X469" s="852">
        <f>IF(ISBLANK(INDEX(MO_IS_FirstRow,0,COLUMN())),0,IF(OR(X217=S217,X217=Y217,X217=W217),"CHECK",0))</f>
        <v>0</v>
      </c>
      <c r="Y469" s="852">
        <f>IF(ISBLANK(INDEX(MO_IS_FirstRow,0,COLUMN())),0,IF(OR(Y217=T217,Y217=Z217,Y217=X217),"CHECK",0))</f>
        <v>0</v>
      </c>
      <c r="Z469" s="852">
        <f>IF(ISBLANK(INDEX(MO_IS_FirstRow,0,COLUMN())),0,IF(OR(Z217=U217,Z217=AA217,Z217=Y217),"CHECK",0))</f>
        <v>0</v>
      </c>
      <c r="AA469" s="852">
        <f>IF(ISBLANK(INDEX(MO_IS_FirstRow,0,COLUMN())),0,IF(AA217=V217,"CHECK",0))</f>
        <v>0</v>
      </c>
      <c r="AB469" s="852">
        <f>IF(ISBLANK(INDEX(MO_IS_FirstRow,0,COLUMN())),0,IF(OR(AB217=W217,AB217=AC217,AB217=Z217),"CHECK",0))</f>
        <v>0</v>
      </c>
      <c r="AC469" s="852">
        <f>IF(ISBLANK(INDEX(MO_IS_FirstRow,0,COLUMN())),0,IF(OR(AC217=X217,AC217=AD217,AC217=AB217),"CHECK",0))</f>
        <v>0</v>
      </c>
      <c r="AD469" s="852">
        <f>IF(ISBLANK(INDEX(MO_IS_FirstRow,0,COLUMN())),0,IF(OR(AD217=Y217,AD217=AE217,AD217=AC217),"CHECK",0))</f>
        <v>0</v>
      </c>
      <c r="AE469" s="852">
        <f>IF(ISBLANK(INDEX(MO_IS_FirstRow,0,COLUMN())),0,IF(OR(AE217=Z217,AE217=AF217,AE217=AD217),"CHECK",0))</f>
        <v>0</v>
      </c>
      <c r="AF469" s="852">
        <f>IF(ISBLANK(INDEX(MO_IS_FirstRow,0,COLUMN())),0,IF(AF217=AA217,"CHECK",0))</f>
        <v>0</v>
      </c>
      <c r="AG469" s="852">
        <f>IF(ISBLANK(INDEX(MO_IS_FirstRow,0,COLUMN())),0,IF(OR(AG217=AB217,AG217=AH217,AG217=AE217),"CHECK",0))</f>
        <v>0</v>
      </c>
      <c r="AH469" s="852">
        <f>IF(ISBLANK(INDEX(MO_IS_FirstRow,0,COLUMN())),0,IF(OR(AH217=AC217,AH217=AI217,AH217=AG217),"CHECK",0))</f>
        <v>0</v>
      </c>
      <c r="AI469" s="852">
        <f>IF(ISBLANK(INDEX(MO_IS_FirstRow,0,COLUMN())),0,IF(OR(AI217=AD217,AI217=AJ217,AI217=AH217),"CHECK",0))</f>
        <v>0</v>
      </c>
      <c r="AJ469" s="852">
        <f>IF(ISBLANK(INDEX(MO_IS_FirstRow,0,COLUMN())),0,IF(OR(AJ217=AE217,AJ217=AK217,AJ217=AI217),"CHECK",0))</f>
        <v>0</v>
      </c>
      <c r="AK469" s="852">
        <f>IF(ISBLANK(INDEX(MO_IS_FirstRow,0,COLUMN())),0,IF(AK217=AF217,"CHECK",0))</f>
        <v>0</v>
      </c>
      <c r="AL469" s="852">
        <f>IF(ISBLANK(INDEX(MO_IS_FirstRow,0,COLUMN())),0,IF(OR(AL217=AG217,AL217=AM217,AL217=AJ217),"CHECK",0))</f>
        <v>0</v>
      </c>
      <c r="AM469" s="852">
        <f>IF(ISBLANK(INDEX(MO_IS_FirstRow,0,COLUMN())),0,IF(OR(AM217=AH217,AM217=AN217,AM217=AL217),"CHECK",0))</f>
        <v>0</v>
      </c>
      <c r="AN469" s="852">
        <f>IF(ISBLANK(INDEX(MO_IS_FirstRow,0,COLUMN())),0,IF(OR(AN217=AI217,AN217=AO217,AN217=AM217),"CHECK",0))</f>
        <v>0</v>
      </c>
      <c r="AO469" s="852">
        <f>IF(ISBLANK(INDEX(MO_IS_FirstRow,0,COLUMN())),0,IF(OR(AO217=AJ217,AO217=AP217,AO217=AN217),"CHECK",0))</f>
        <v>0</v>
      </c>
      <c r="AP469" s="852">
        <f>IF(ISBLANK(INDEX(MO_IS_FirstRow,0,COLUMN())),0,IF(AP217=AK217,"CHECK",0))</f>
        <v>0</v>
      </c>
      <c r="AQ469" s="852">
        <f>IF(ISBLANK(INDEX(MO_IS_FirstRow,0,COLUMN())),0,IF(OR(AQ217=AL217,AQ217=AR217,AQ217=AO217),"CHECK",0))</f>
        <v>0</v>
      </c>
      <c r="AR469" s="852">
        <f>IF(ISBLANK(INDEX(MO_IS_FirstRow,0,COLUMN())),0,IF(OR(AR217=AM217,AR217=AS217,AR217=AQ217),"CHECK",0))</f>
        <v>0</v>
      </c>
      <c r="AS469" s="852">
        <f>IF(ISBLANK(INDEX(MO_IS_FirstRow,0,COLUMN())),0,IF(OR(AS217=AN217,AS217=AT217,AS217=AR217),"CHECK",0))</f>
        <v>0</v>
      </c>
      <c r="AT469" s="852">
        <f>IF(ISBLANK(INDEX(MO_IS_FirstRow,0,COLUMN())),0,IF(OR(AT217=AO217,AT217=AU217,AT217=AS217),"CHECK",0))</f>
        <v>0</v>
      </c>
      <c r="AU469" s="852">
        <f>IF(ISBLANK(INDEX(MO_IS_FirstRow,0,COLUMN())),0,IF(AU217=AP217,"CHECK",0))</f>
        <v>0</v>
      </c>
      <c r="AV469" s="852">
        <f>IF(ISBLANK(INDEX(MO_IS_FirstRow,0,COLUMN())),0,IF(OR(AV217=AQ217,AV217=AW217,AV217=AT217),"CHECK",0))</f>
        <v>0</v>
      </c>
      <c r="AW469" s="852">
        <f>IF(ISBLANK(INDEX(MO_IS_FirstRow,0,COLUMN())),0,IF(OR(AW217=AR217,AW217=AX217,AW217=AV217),"CHECK",0))</f>
        <v>0</v>
      </c>
      <c r="AX469" s="852">
        <f>IF(ISBLANK(INDEX(MO_IS_FirstRow,0,COLUMN())),0,IF(OR(AX217=AS217,AX217=AY217,AX217=AW217),"CHECK",0))</f>
        <v>0</v>
      </c>
      <c r="AY469" s="852">
        <f>IF(ISBLANK(INDEX(MO_IS_FirstRow,0,COLUMN())),0,IF(OR(AY217=AT217,AY217=AZ217,AY217=AX217),"CHECK",0))</f>
        <v>0</v>
      </c>
      <c r="AZ469" s="852">
        <f>IF(ISBLANK(INDEX(MO_IS_FirstRow,0,COLUMN())),0,IF(AZ217=AU217,"CHECK",0))</f>
        <v>0</v>
      </c>
      <c r="BA469" s="852">
        <f>IF(ISBLANK(INDEX(MO_IS_FirstRow,0,COLUMN())),0,IF(OR(BA217=AV217,BA217=BB217,BA217=AY217),"CHECK",0))</f>
        <v>0</v>
      </c>
      <c r="BB469" s="852">
        <f>IF(ISBLANK(INDEX(MO_IS_FirstRow,0,COLUMN())),0,IF(OR(BB217=AW217,BB217=BC217,BB217=BA217),"CHECK",0))</f>
        <v>0</v>
      </c>
      <c r="BC469" s="852">
        <f>IF(ISBLANK(INDEX(MO_IS_FirstRow,0,COLUMN())),0,IF(OR(BC217=AX217,BC217=BD217,BC217=BB217),"CHECK",0))</f>
        <v>0</v>
      </c>
      <c r="BD469" s="852">
        <f>IF(ISBLANK(INDEX(MO_IS_FirstRow,0,COLUMN())),0,IF(OR(BD217=AY217,BD217=BE217,BD217=BC217),"CHECK",0))</f>
        <v>0</v>
      </c>
      <c r="BE469" s="852">
        <f>IF(ISBLANK(INDEX(MO_IS_FirstRow,0,COLUMN())),0,IF(BE217=AZ217,"CHECK",0))</f>
        <v>0</v>
      </c>
      <c r="BF469" s="852">
        <f>IF(ISBLANK(INDEX(MO_IS_FirstRow,0,COLUMN())),0,IF(OR(BF217=BA217,BF217=BG217,BF217=BD217),"CHECK",0))</f>
        <v>0</v>
      </c>
      <c r="BG469" s="852">
        <f>IF(ISBLANK(INDEX(MO_IS_FirstRow,0,COLUMN())),0,IF(OR(BG217=BB217,BG217=BH217,BG217=BF217),"CHECK",0))</f>
        <v>0</v>
      </c>
      <c r="BH469" s="853">
        <f>IF(ISBLANK(INDEX(MO_IS_FirstRow,0,COLUMN())),0,IF(OR(BH217=BC217,BH217=BI217,BH217=BG217),"CHECK",0))</f>
        <v>0</v>
      </c>
      <c r="BI469" s="852"/>
      <c r="BJ469" s="852"/>
      <c r="BK469" s="852"/>
      <c r="BL469" s="852"/>
      <c r="BM469" s="852"/>
      <c r="BN469" s="852"/>
      <c r="BO469" s="852"/>
      <c r="BP469" s="852"/>
      <c r="BQ469" s="852"/>
      <c r="BR469" s="852"/>
      <c r="BS469" s="816"/>
    </row>
    <row r="470" spans="1:71" s="223" customFormat="1" ht="15">
      <c r="A470" s="816" t="s">
        <v>189</v>
      </c>
      <c r="B470" s="527"/>
      <c r="C470" s="852">
        <f t="shared" si="1172" ref="C470:AM470">IF(ISBLANK(INDEX(MO_IS_FirstRow,0,COLUMN())),0,ROUND(C409-C358,6))</f>
        <v>0</v>
      </c>
      <c r="D470" s="852">
        <f t="shared" si="1172"/>
        <v>0</v>
      </c>
      <c r="E470" s="852">
        <f t="shared" si="1172"/>
        <v>0</v>
      </c>
      <c r="F470" s="852">
        <f t="shared" si="1172"/>
        <v>0</v>
      </c>
      <c r="G470" s="852">
        <f t="shared" si="1172"/>
        <v>0</v>
      </c>
      <c r="H470" s="852">
        <f t="shared" si="1172"/>
        <v>0</v>
      </c>
      <c r="I470" s="852">
        <f t="shared" si="1172"/>
        <v>0</v>
      </c>
      <c r="J470" s="852">
        <f t="shared" si="1172"/>
        <v>0</v>
      </c>
      <c r="K470" s="852">
        <f t="shared" si="1172"/>
        <v>0</v>
      </c>
      <c r="L470" s="852">
        <f t="shared" si="1172"/>
        <v>0</v>
      </c>
      <c r="M470" s="852">
        <f t="shared" si="1172"/>
        <v>0</v>
      </c>
      <c r="N470" s="852">
        <f t="shared" si="1172"/>
        <v>0</v>
      </c>
      <c r="O470" s="852">
        <f t="shared" si="1172"/>
        <v>0</v>
      </c>
      <c r="P470" s="852">
        <f t="shared" si="1172"/>
        <v>0</v>
      </c>
      <c r="Q470" s="852">
        <f t="shared" si="1172"/>
        <v>0</v>
      </c>
      <c r="R470" s="852">
        <f t="shared" si="1172"/>
        <v>0</v>
      </c>
      <c r="S470" s="852">
        <f t="shared" si="1172"/>
        <v>0</v>
      </c>
      <c r="T470" s="852">
        <f t="shared" si="1172"/>
        <v>0</v>
      </c>
      <c r="U470" s="852">
        <f t="shared" si="1172"/>
        <v>0</v>
      </c>
      <c r="V470" s="852">
        <f t="shared" si="1172"/>
        <v>0</v>
      </c>
      <c r="W470" s="852">
        <f t="shared" si="1172"/>
        <v>0</v>
      </c>
      <c r="X470" s="852">
        <f t="shared" si="1172"/>
        <v>0</v>
      </c>
      <c r="Y470" s="852">
        <f t="shared" si="1172"/>
        <v>0</v>
      </c>
      <c r="Z470" s="852">
        <f t="shared" si="1172"/>
        <v>0</v>
      </c>
      <c r="AA470" s="852">
        <f t="shared" si="1172"/>
        <v>0</v>
      </c>
      <c r="AB470" s="852">
        <f t="shared" si="1172"/>
        <v>0</v>
      </c>
      <c r="AC470" s="852">
        <f t="shared" si="1172"/>
        <v>0</v>
      </c>
      <c r="AD470" s="852">
        <f t="shared" si="1172"/>
        <v>0</v>
      </c>
      <c r="AE470" s="852">
        <f t="shared" si="1172"/>
        <v>0</v>
      </c>
      <c r="AF470" s="852">
        <f t="shared" si="1172"/>
        <v>0</v>
      </c>
      <c r="AG470" s="852">
        <f t="shared" si="1172"/>
        <v>0</v>
      </c>
      <c r="AH470" s="852">
        <f t="shared" si="1172"/>
        <v>0</v>
      </c>
      <c r="AI470" s="852">
        <f t="shared" si="1172"/>
        <v>0</v>
      </c>
      <c r="AJ470" s="852">
        <f t="shared" si="1172"/>
        <v>0</v>
      </c>
      <c r="AK470" s="852">
        <f t="shared" si="1172"/>
        <v>0</v>
      </c>
      <c r="AL470" s="852">
        <f t="shared" si="1172"/>
        <v>0</v>
      </c>
      <c r="AM470" s="852">
        <f t="shared" si="1172"/>
        <v>0</v>
      </c>
      <c r="AN470" s="852">
        <f t="shared" si="1173" ref="AN470:AQ470">IF(ISBLANK(INDEX(MO_IS_FirstRow,0,COLUMN())),0,ROUND(AN409-AN358,6))</f>
        <v>0</v>
      </c>
      <c r="AO470" s="852">
        <f t="shared" si="1173"/>
        <v>0</v>
      </c>
      <c r="AP470" s="852">
        <f t="shared" si="1173"/>
        <v>0</v>
      </c>
      <c r="AQ470" s="852">
        <f t="shared" si="1173"/>
        <v>0</v>
      </c>
      <c r="AR470" s="852">
        <f t="shared" si="1174" ref="AR470:AW470">IF(ISBLANK(INDEX(MO_IS_FirstRow,0,COLUMN())),0,ROUND(AR409-AR358,6))</f>
        <v>0</v>
      </c>
      <c r="AS470" s="852">
        <f t="shared" si="1174"/>
        <v>0</v>
      </c>
      <c r="AT470" s="852">
        <f t="shared" si="1174"/>
        <v>0</v>
      </c>
      <c r="AU470" s="852">
        <f t="shared" si="1174"/>
        <v>0</v>
      </c>
      <c r="AV470" s="852">
        <f t="shared" si="1174"/>
        <v>0</v>
      </c>
      <c r="AW470" s="852">
        <f t="shared" si="1174"/>
        <v>0</v>
      </c>
      <c r="AX470" s="852">
        <f t="shared" si="1175" ref="AX470:BJ470">IF(ISBLANK(INDEX(MO_IS_FirstRow,0,COLUMN())),0,ROUND(AX409-AX358,6))</f>
        <v>0</v>
      </c>
      <c r="AY470" s="852">
        <f t="shared" si="1175"/>
        <v>0</v>
      </c>
      <c r="AZ470" s="852">
        <f t="shared" si="1175"/>
        <v>0</v>
      </c>
      <c r="BA470" s="852">
        <f t="shared" si="1176" ref="BA470:BI470">IF(ISBLANK(INDEX(MO_IS_FirstRow,0,COLUMN())),0,ROUND(BA409-BA358,6))</f>
        <v>0</v>
      </c>
      <c r="BB470" s="852">
        <f t="shared" si="1176"/>
        <v>0</v>
      </c>
      <c r="BC470" s="852">
        <f t="shared" si="1176"/>
        <v>0</v>
      </c>
      <c r="BD470" s="852">
        <f t="shared" si="1176"/>
        <v>0</v>
      </c>
      <c r="BE470" s="852">
        <f t="shared" si="1176"/>
        <v>0</v>
      </c>
      <c r="BF470" s="852">
        <f>IF(ISBLANK(INDEX(MO_IS_FirstRow,0,COLUMN())),0,ROUND(BF409-BF358,6))</f>
        <v>0</v>
      </c>
      <c r="BG470" s="852">
        <f>IF(ISBLANK(INDEX(MO_IS_FirstRow,0,COLUMN())),0,ROUND(BG409-BG358,6))</f>
        <v>0</v>
      </c>
      <c r="BH470" s="853">
        <f>IF(ISBLANK(INDEX(MO_IS_FirstRow,0,COLUMN())),0,ROUND(BH409-BH358,6))</f>
        <v>0</v>
      </c>
      <c r="BI470" s="852">
        <f t="shared" si="1176"/>
        <v>0</v>
      </c>
      <c r="BJ470" s="852">
        <f t="shared" si="1175"/>
        <v>0</v>
      </c>
      <c r="BK470" s="852">
        <f t="shared" si="1177" ref="BK470:BR470">IF(ISBLANK(INDEX(MO_IS_FirstRow,0,COLUMN())),0,ROUND(BK409-BK358,6))</f>
        <v>0</v>
      </c>
      <c r="BL470" s="852">
        <f t="shared" si="1177"/>
        <v>0</v>
      </c>
      <c r="BM470" s="852">
        <f t="shared" si="1177"/>
        <v>0</v>
      </c>
      <c r="BN470" s="852">
        <f t="shared" si="1177"/>
        <v>0</v>
      </c>
      <c r="BO470" s="852">
        <f t="shared" si="1177"/>
        <v>0</v>
      </c>
      <c r="BP470" s="852">
        <f t="shared" si="1177"/>
        <v>0</v>
      </c>
      <c r="BQ470" s="852">
        <f t="shared" si="1177"/>
        <v>0</v>
      </c>
      <c r="BR470" s="852">
        <f t="shared" si="1177"/>
        <v>0</v>
      </c>
      <c r="BS470" s="816"/>
    </row>
    <row r="471" spans="1:71" s="223" customFormat="1" ht="15">
      <c r="A471" s="816" t="s">
        <v>190</v>
      </c>
      <c r="B471" s="527"/>
      <c r="C471" s="852"/>
      <c r="D471" s="852"/>
      <c r="E471" s="852"/>
      <c r="F471" s="852"/>
      <c r="G471" s="852"/>
      <c r="H471" s="852"/>
      <c r="I471" s="852"/>
      <c r="J471" s="852"/>
      <c r="K471" s="852"/>
      <c r="L471" s="852">
        <f>ROUND(L217-SUM(H217,I217,J217,K217),6)</f>
        <v>0</v>
      </c>
      <c r="M471" s="852"/>
      <c r="N471" s="852"/>
      <c r="O471" s="852"/>
      <c r="P471" s="852"/>
      <c r="Q471" s="852">
        <f>ROUND(Q217-SUM(M217,N217,O217,P217),6)</f>
        <v>0</v>
      </c>
      <c r="R471" s="852"/>
      <c r="S471" s="852"/>
      <c r="T471" s="852"/>
      <c r="U471" s="852"/>
      <c r="V471" s="852">
        <f>ROUND(V217-SUM(R217,S217,T217,U217),6)</f>
        <v>0</v>
      </c>
      <c r="W471" s="852"/>
      <c r="X471" s="852"/>
      <c r="Y471" s="852"/>
      <c r="Z471" s="852"/>
      <c r="AA471" s="852">
        <f>ROUND(AA217-SUM(W217,X217,Y217,Z217),6)</f>
        <v>0</v>
      </c>
      <c r="AB471" s="852"/>
      <c r="AC471" s="852"/>
      <c r="AD471" s="852"/>
      <c r="AE471" s="852"/>
      <c r="AF471" s="852">
        <f>ROUND(AF217-SUM(AB217,AC217,AD217,AE217),6)</f>
        <v>0</v>
      </c>
      <c r="AG471" s="852"/>
      <c r="AH471" s="852"/>
      <c r="AI471" s="852"/>
      <c r="AJ471" s="852"/>
      <c r="AK471" s="852">
        <f>ROUND(AK217-SUM(AG217,AH217,AI217,AJ217),6)</f>
        <v>0</v>
      </c>
      <c r="AL471" s="852"/>
      <c r="AM471" s="852"/>
      <c r="AN471" s="852"/>
      <c r="AO471" s="852"/>
      <c r="AP471" s="852">
        <f>ROUND(AP217-SUM(AL217,AM217,AN217,AO217),6)</f>
        <v>0</v>
      </c>
      <c r="AQ471" s="852"/>
      <c r="AR471" s="852"/>
      <c r="AS471" s="852"/>
      <c r="AT471" s="852"/>
      <c r="AU471" s="852">
        <f>ROUND(AU217-SUM(AQ217,AR217,AS217,AT217),6)</f>
        <v>0</v>
      </c>
      <c r="AV471" s="852"/>
      <c r="AW471" s="852"/>
      <c r="AX471" s="852"/>
      <c r="AY471" s="852"/>
      <c r="AZ471" s="852">
        <f>ROUND(AZ217-SUM(AV217,AW217,AX217,AY217),6)</f>
        <v>0</v>
      </c>
      <c r="BA471" s="852"/>
      <c r="BB471" s="852"/>
      <c r="BC471" s="852"/>
      <c r="BD471" s="852"/>
      <c r="BE471" s="852">
        <f>ROUND(BE217-SUM(BA217,BB217,BC217,BD217),6)</f>
        <v>0</v>
      </c>
      <c r="BF471" s="852"/>
      <c r="BG471" s="852"/>
      <c r="BH471" s="853"/>
      <c r="BI471" s="852"/>
      <c r="BJ471" s="852">
        <f>ROUND(BJ217-SUM(BF217,BG217,BH217,BI217),6)</f>
        <v>0</v>
      </c>
      <c r="BK471" s="852"/>
      <c r="BL471" s="852"/>
      <c r="BM471" s="852"/>
      <c r="BN471" s="852"/>
      <c r="BO471" s="852">
        <f>ROUND(BO217-SUM(BK217,BL217,BM217,BN217),6)</f>
        <v>0</v>
      </c>
      <c r="BP471" s="852"/>
      <c r="BQ471" s="852"/>
      <c r="BR471" s="852"/>
      <c r="BS471" s="816"/>
    </row>
    <row r="472" spans="1:71" s="223" customFormat="1" ht="15">
      <c r="A472" s="816" t="s">
        <v>191</v>
      </c>
      <c r="B472" s="527"/>
      <c r="C472" s="852"/>
      <c r="D472" s="852"/>
      <c r="E472" s="852"/>
      <c r="F472" s="852"/>
      <c r="G472" s="852"/>
      <c r="H472" s="852"/>
      <c r="I472" s="852"/>
      <c r="J472" s="852"/>
      <c r="K472" s="852"/>
      <c r="L472" s="852">
        <f>ROUND(SUM(H227,I227,J227,K227)-INDEX(MO_RIS_NI_NONGAAP_Diluted,1,COLUMN()),6)</f>
        <v>0</v>
      </c>
      <c r="M472" s="852"/>
      <c r="N472" s="852"/>
      <c r="O472" s="852"/>
      <c r="P472" s="852"/>
      <c r="Q472" s="852">
        <f>ROUND(SUM(M227,N227,O227,P227)-INDEX(MO_RIS_NI_NONGAAP_Diluted,1,COLUMN()),6)</f>
        <v>0</v>
      </c>
      <c r="R472" s="852"/>
      <c r="S472" s="852"/>
      <c r="T472" s="852"/>
      <c r="U472" s="852"/>
      <c r="V472" s="852">
        <f>ROUND(SUM(R227,S227,T227,U227)-INDEX(MO_RIS_NI_NONGAAP_Diluted,1,COLUMN()),6)</f>
        <v>0</v>
      </c>
      <c r="W472" s="852"/>
      <c r="X472" s="852"/>
      <c r="Y472" s="852"/>
      <c r="Z472" s="852"/>
      <c r="AA472" s="852">
        <f>ROUND(SUM(W227,X227,Y227,Z227)-INDEX(MO_RIS_NI_NONGAAP_Diluted,1,COLUMN()),6)</f>
        <v>0</v>
      </c>
      <c r="AB472" s="852"/>
      <c r="AC472" s="852"/>
      <c r="AD472" s="852"/>
      <c r="AE472" s="852"/>
      <c r="AF472" s="852">
        <f>ROUND(SUM(AB227,AC227,AD227,AE227)-INDEX(MO_RIS_NI_NONGAAP_Diluted,1,COLUMN()),6)</f>
        <v>1</v>
      </c>
      <c r="AG472" s="852"/>
      <c r="AH472" s="852"/>
      <c r="AI472" s="852"/>
      <c r="AJ472" s="852"/>
      <c r="AK472" s="852">
        <f>ROUND(SUM(AG227,AH227,AI227,AJ227)-INDEX(MO_RIS_NI_NONGAAP_Diluted,1,COLUMN()),6)</f>
        <v>0</v>
      </c>
      <c r="AL472" s="852"/>
      <c r="AM472" s="852"/>
      <c r="AN472" s="852"/>
      <c r="AO472" s="852"/>
      <c r="AP472" s="852">
        <f>ROUND(SUM(AL227,AM227,AN227,AO227)-INDEX(MO_RIS_NI_NONGAAP_Diluted,1,COLUMN()),6)</f>
        <v>0</v>
      </c>
      <c r="AQ472" s="852"/>
      <c r="AR472" s="852"/>
      <c r="AS472" s="852"/>
      <c r="AT472" s="852"/>
      <c r="AU472" s="852">
        <f>ROUND(SUM(AQ227,AR227,AS227,AT227)-INDEX(MO_RIS_NI_NONGAAP_Diluted,1,COLUMN()),6)</f>
        <v>-1</v>
      </c>
      <c r="AV472" s="852"/>
      <c r="AW472" s="852"/>
      <c r="AX472" s="852"/>
      <c r="AY472" s="852"/>
      <c r="AZ472" s="852">
        <f>ROUND(SUM(AV227,AW227,AX227,AY227)-INDEX(MO_RIS_NI_NONGAAP_Diluted,1,COLUMN()),6)</f>
        <v>2</v>
      </c>
      <c r="BA472" s="852"/>
      <c r="BB472" s="852"/>
      <c r="BC472" s="852"/>
      <c r="BD472" s="852"/>
      <c r="BE472" s="852">
        <f>ROUND(SUM(BA227,BB227,BC227,BD227)-INDEX(MO_RIS_NI_NONGAAP_Diluted,1,COLUMN()),6)</f>
        <v>-1</v>
      </c>
      <c r="BF472" s="852"/>
      <c r="BG472" s="852"/>
      <c r="BH472" s="853"/>
      <c r="BI472" s="852"/>
      <c r="BJ472" s="852">
        <f>ROUND(SUM(BF227,BG227,BH227,BI227)-INDEX(MO_RIS_NI_NONGAAP_Diluted,1,COLUMN()),6)</f>
        <v>0</v>
      </c>
      <c r="BK472" s="852"/>
      <c r="BL472" s="852"/>
      <c r="BM472" s="852"/>
      <c r="BN472" s="852"/>
      <c r="BO472" s="852">
        <f>ROUND(SUM(BK227,BL227,BM227,BN227)-INDEX(MO_RIS_NI_NONGAAP_Diluted,1,COLUMN()),6)</f>
        <v>0</v>
      </c>
      <c r="BP472" s="852"/>
      <c r="BQ472" s="852"/>
      <c r="BR472" s="852"/>
      <c r="BS472" s="816"/>
    </row>
    <row r="473" spans="1:71" s="223" customFormat="1" ht="15">
      <c r="A473" s="816" t="s">
        <v>192</v>
      </c>
      <c r="B473" s="527"/>
      <c r="C473" s="852"/>
      <c r="D473" s="852"/>
      <c r="E473" s="852"/>
      <c r="F473" s="852"/>
      <c r="G473" s="852"/>
      <c r="H473" s="852"/>
      <c r="I473" s="852"/>
      <c r="J473" s="852"/>
      <c r="K473" s="852"/>
      <c r="L473" s="852">
        <f ca="1">ROUND(SUM(H367,I367,J367,K367)-SUM(OFFSET(INDEX(MO_CFS_CFO_BeforeWC,1,COLUMN()),ROW(INDEX(MO_SubSection_CFS_CFO,1,COLUMN()))-ROW(INDEX(MO_CFS_CFO_BeforeWC,1,COLUMN())),0,ROW(INDEX(MO_CFS_CFO_BeforeWC,1,COLUMN()))-ROW(INDEX(MO_SubSection_CFS_CFO,1,COLUMN())),1)),6)</f>
        <v>0</v>
      </c>
      <c r="M473" s="852"/>
      <c r="N473" s="852"/>
      <c r="O473" s="852"/>
      <c r="P473" s="852"/>
      <c r="Q473" s="852">
        <f ca="1">ROUND(SUM(M367,N367,O367,P367)-SUM(OFFSET(INDEX(MO_CFS_CFO_BeforeWC,1,COLUMN()),ROW(INDEX(MO_SubSection_CFS_CFO,1,COLUMN()))-ROW(INDEX(MO_CFS_CFO_BeforeWC,1,COLUMN())),0,ROW(INDEX(MO_CFS_CFO_BeforeWC,1,COLUMN()))-ROW(INDEX(MO_SubSection_CFS_CFO,1,COLUMN())),1)),6)</f>
        <v>0</v>
      </c>
      <c r="R473" s="852"/>
      <c r="S473" s="852"/>
      <c r="T473" s="852"/>
      <c r="U473" s="852"/>
      <c r="V473" s="852">
        <f ca="1">ROUND(SUM(R367,S367,T367,U367)-SUM(OFFSET(INDEX(MO_CFS_CFO_BeforeWC,1,COLUMN()),ROW(INDEX(MO_SubSection_CFS_CFO,1,COLUMN()))-ROW(INDEX(MO_CFS_CFO_BeforeWC,1,COLUMN())),0,ROW(INDEX(MO_CFS_CFO_BeforeWC,1,COLUMN()))-ROW(INDEX(MO_SubSection_CFS_CFO,1,COLUMN())),1)),6)</f>
        <v>0</v>
      </c>
      <c r="W473" s="852"/>
      <c r="X473" s="852"/>
      <c r="Y473" s="852"/>
      <c r="Z473" s="852"/>
      <c r="AA473" s="852">
        <f ca="1">ROUND(SUM(W367,X367,Y367,Z367)-SUM(OFFSET(INDEX(MO_CFS_CFO_BeforeWC,1,COLUMN()),ROW(INDEX(MO_SubSection_CFS_CFO,1,COLUMN()))-ROW(INDEX(MO_CFS_CFO_BeforeWC,1,COLUMN())),0,ROW(INDEX(MO_CFS_CFO_BeforeWC,1,COLUMN()))-ROW(INDEX(MO_SubSection_CFS_CFO,1,COLUMN())),1)),6)</f>
        <v>0</v>
      </c>
      <c r="AB473" s="852"/>
      <c r="AC473" s="852"/>
      <c r="AD473" s="852"/>
      <c r="AE473" s="852"/>
      <c r="AF473" s="852">
        <f ca="1">ROUND(SUM(AB367,AC367,AD367,AE367)-SUM(OFFSET(INDEX(MO_CFS_CFO_BeforeWC,1,COLUMN()),ROW(INDEX(MO_SubSection_CFS_CFO,1,COLUMN()))-ROW(INDEX(MO_CFS_CFO_BeforeWC,1,COLUMN())),0,ROW(INDEX(MO_CFS_CFO_BeforeWC,1,COLUMN()))-ROW(INDEX(MO_SubSection_CFS_CFO,1,COLUMN())),1)),6)</f>
        <v>0</v>
      </c>
      <c r="AG473" s="852"/>
      <c r="AH473" s="852"/>
      <c r="AI473" s="852"/>
      <c r="AJ473" s="852"/>
      <c r="AK473" s="852">
        <f ca="1">ROUND(SUM(AG367,AH367,AI367,AJ367)-SUM(OFFSET(INDEX(MO_CFS_CFO_BeforeWC,1,COLUMN()),ROW(INDEX(MO_SubSection_CFS_CFO,1,COLUMN()))-ROW(INDEX(MO_CFS_CFO_BeforeWC,1,COLUMN())),0,ROW(INDEX(MO_CFS_CFO_BeforeWC,1,COLUMN()))-ROW(INDEX(MO_SubSection_CFS_CFO,1,COLUMN())),1)),6)</f>
        <v>0</v>
      </c>
      <c r="AL473" s="852"/>
      <c r="AM473" s="852"/>
      <c r="AN473" s="852"/>
      <c r="AO473" s="852"/>
      <c r="AP473" s="852">
        <f ca="1">ROUND(SUM(AL367,AM367,AN367,AO367)-SUM(OFFSET(INDEX(MO_CFS_CFO_BeforeWC,1,COLUMN()),ROW(INDEX(MO_SubSection_CFS_CFO,1,COLUMN()))-ROW(INDEX(MO_CFS_CFO_BeforeWC,1,COLUMN())),0,ROW(INDEX(MO_CFS_CFO_BeforeWC,1,COLUMN()))-ROW(INDEX(MO_SubSection_CFS_CFO,1,COLUMN())),1)),6)</f>
        <v>0</v>
      </c>
      <c r="AQ473" s="852"/>
      <c r="AR473" s="852"/>
      <c r="AS473" s="852"/>
      <c r="AT473" s="852"/>
      <c r="AU473" s="852">
        <f ca="1">ROUND(SUM(AQ367,AR367,AS367,AT367)-SUM(OFFSET(INDEX(MO_CFS_CFO_BeforeWC,1,COLUMN()),ROW(INDEX(MO_SubSection_CFS_CFO,1,COLUMN()))-ROW(INDEX(MO_CFS_CFO_BeforeWC,1,COLUMN())),0,ROW(INDEX(MO_CFS_CFO_BeforeWC,1,COLUMN()))-ROW(INDEX(MO_SubSection_CFS_CFO,1,COLUMN())),1)),6)</f>
        <v>0</v>
      </c>
      <c r="AV473" s="852"/>
      <c r="AW473" s="852"/>
      <c r="AX473" s="852"/>
      <c r="AY473" s="852"/>
      <c r="AZ473" s="852">
        <f ca="1">ROUND(SUM(AV367,AW367,AX367,AY367)-SUM(OFFSET(INDEX(MO_CFS_CFO_BeforeWC,1,COLUMN()),ROW(INDEX(MO_SubSection_CFS_CFO,1,COLUMN()))-ROW(INDEX(MO_CFS_CFO_BeforeWC,1,COLUMN())),0,ROW(INDEX(MO_CFS_CFO_BeforeWC,1,COLUMN()))-ROW(INDEX(MO_SubSection_CFS_CFO,1,COLUMN())),1)),6)</f>
        <v>0</v>
      </c>
      <c r="BA473" s="852"/>
      <c r="BB473" s="852"/>
      <c r="BC473" s="852"/>
      <c r="BD473" s="852"/>
      <c r="BE473" s="852">
        <f ca="1">ROUND(SUM(BA367,BB367,BC367,BD367)-SUM(OFFSET(INDEX(MO_CFS_CFO_BeforeWC,1,COLUMN()),ROW(INDEX(MO_SubSection_CFS_CFO,1,COLUMN()))-ROW(INDEX(MO_CFS_CFO_BeforeWC,1,COLUMN())),0,ROW(INDEX(MO_CFS_CFO_BeforeWC,1,COLUMN()))-ROW(INDEX(MO_SubSection_CFS_CFO,1,COLUMN())),1)),6)</f>
        <v>0</v>
      </c>
      <c r="BF473" s="852"/>
      <c r="BG473" s="852"/>
      <c r="BH473" s="853"/>
      <c r="BI473" s="852"/>
      <c r="BJ473" s="852">
        <f ca="1">ROUND(SUM(BF367,BG367,BH367,BI367)-SUM(OFFSET(INDEX(MO_CFS_CFO_BeforeWC,1,COLUMN()),ROW(INDEX(MO_SubSection_CFS_CFO,1,COLUMN()))-ROW(INDEX(MO_CFS_CFO_BeforeWC,1,COLUMN())),0,ROW(INDEX(MO_CFS_CFO_BeforeWC,1,COLUMN()))-ROW(INDEX(MO_SubSection_CFS_CFO,1,COLUMN())),1)),6)</f>
        <v>0</v>
      </c>
      <c r="BK473" s="852"/>
      <c r="BL473" s="852"/>
      <c r="BM473" s="852"/>
      <c r="BN473" s="852"/>
      <c r="BO473" s="852">
        <f ca="1">ROUND(SUM(BK367,BL367,BM367,BN367)-SUM(OFFSET(INDEX(MO_CFS_CFO_BeforeWC,1,COLUMN()),ROW(INDEX(MO_SubSection_CFS_CFO,1,COLUMN()))-ROW(INDEX(MO_CFS_CFO_BeforeWC,1,COLUMN())),0,ROW(INDEX(MO_CFS_CFO_BeforeWC,1,COLUMN()))-ROW(INDEX(MO_SubSection_CFS_CFO,1,COLUMN())),1)),6)</f>
        <v>0</v>
      </c>
      <c r="BP473" s="852"/>
      <c r="BQ473" s="852"/>
      <c r="BR473" s="852"/>
      <c r="BS473" s="816"/>
    </row>
    <row r="474" spans="1:71" s="223" customFormat="1" ht="15">
      <c r="A474" s="816" t="s">
        <v>193</v>
      </c>
      <c r="B474" s="527"/>
      <c r="C474" s="852"/>
      <c r="D474" s="852"/>
      <c r="E474" s="852"/>
      <c r="F474" s="852"/>
      <c r="G474" s="852"/>
      <c r="H474" s="852"/>
      <c r="I474" s="852"/>
      <c r="J474" s="852"/>
      <c r="K474" s="852"/>
      <c r="L474" s="852">
        <f ca="1">ROUND(SUM(H374,I374,J374,K374)-SUM(OFFSET(INDEX(MO_CFS_CFO,1,COLUMN()),ROW(INDEX(MO_CFS_CFO_BeforeWC,1,COLUMN()))-ROW(INDEX(MO_CFS_CFO,1,COLUMN())),0,ROW(INDEX(MO_CFS_CFO,1,COLUMN()))-ROW(INDEX(MO_CFS_CFO_BeforeWC,1,COLUMN())),1)),6)</f>
        <v>0</v>
      </c>
      <c r="M474" s="852"/>
      <c r="N474" s="852"/>
      <c r="O474" s="852"/>
      <c r="P474" s="852"/>
      <c r="Q474" s="852">
        <f ca="1">ROUND(SUM(M374,N374,O374,P374)-SUM(OFFSET(INDEX(MO_CFS_CFO,1,COLUMN()),ROW(INDEX(MO_CFS_CFO_BeforeWC,1,COLUMN()))-ROW(INDEX(MO_CFS_CFO,1,COLUMN())),0,ROW(INDEX(MO_CFS_CFO,1,COLUMN()))-ROW(INDEX(MO_CFS_CFO_BeforeWC,1,COLUMN())),1)),6)</f>
        <v>0</v>
      </c>
      <c r="R474" s="852"/>
      <c r="S474" s="852"/>
      <c r="T474" s="852"/>
      <c r="U474" s="852"/>
      <c r="V474" s="852">
        <f ca="1">ROUND(SUM(R374,S374,T374,U374)-SUM(OFFSET(INDEX(MO_CFS_CFO,1,COLUMN()),ROW(INDEX(MO_CFS_CFO_BeforeWC,1,COLUMN()))-ROW(INDEX(MO_CFS_CFO,1,COLUMN())),0,ROW(INDEX(MO_CFS_CFO,1,COLUMN()))-ROW(INDEX(MO_CFS_CFO_BeforeWC,1,COLUMN())),1)),6)</f>
        <v>0</v>
      </c>
      <c r="W474" s="852"/>
      <c r="X474" s="852"/>
      <c r="Y474" s="852"/>
      <c r="Z474" s="852"/>
      <c r="AA474" s="852">
        <f ca="1">ROUND(SUM(W374,X374,Y374,Z374)-SUM(OFFSET(INDEX(MO_CFS_CFO,1,COLUMN()),ROW(INDEX(MO_CFS_CFO_BeforeWC,1,COLUMN()))-ROW(INDEX(MO_CFS_CFO,1,COLUMN())),0,ROW(INDEX(MO_CFS_CFO,1,COLUMN()))-ROW(INDEX(MO_CFS_CFO_BeforeWC,1,COLUMN())),1)),6)</f>
        <v>0</v>
      </c>
      <c r="AB474" s="852"/>
      <c r="AC474" s="852"/>
      <c r="AD474" s="852"/>
      <c r="AE474" s="852"/>
      <c r="AF474" s="852">
        <f ca="1">ROUND(SUM(AB374,AC374,AD374,AE374)-SUM(OFFSET(INDEX(MO_CFS_CFO,1,COLUMN()),ROW(INDEX(MO_CFS_CFO_BeforeWC,1,COLUMN()))-ROW(INDEX(MO_CFS_CFO,1,COLUMN())),0,ROW(INDEX(MO_CFS_CFO,1,COLUMN()))-ROW(INDEX(MO_CFS_CFO_BeforeWC,1,COLUMN())),1)),6)</f>
        <v>0</v>
      </c>
      <c r="AG474" s="852"/>
      <c r="AH474" s="852"/>
      <c r="AI474" s="852"/>
      <c r="AJ474" s="852"/>
      <c r="AK474" s="852">
        <f ca="1">ROUND(SUM(AG374,AH374,AI374,AJ374)-SUM(OFFSET(INDEX(MO_CFS_CFO,1,COLUMN()),ROW(INDEX(MO_CFS_CFO_BeforeWC,1,COLUMN()))-ROW(INDEX(MO_CFS_CFO,1,COLUMN())),0,ROW(INDEX(MO_CFS_CFO,1,COLUMN()))-ROW(INDEX(MO_CFS_CFO_BeforeWC,1,COLUMN())),1)),6)</f>
        <v>0</v>
      </c>
      <c r="AL474" s="852"/>
      <c r="AM474" s="852"/>
      <c r="AN474" s="852"/>
      <c r="AO474" s="852"/>
      <c r="AP474" s="852">
        <f ca="1">ROUND(SUM(AL374,AM374,AN374,AO374)-SUM(OFFSET(INDEX(MO_CFS_CFO,1,COLUMN()),ROW(INDEX(MO_CFS_CFO_BeforeWC,1,COLUMN()))-ROW(INDEX(MO_CFS_CFO,1,COLUMN())),0,ROW(INDEX(MO_CFS_CFO,1,COLUMN()))-ROW(INDEX(MO_CFS_CFO_BeforeWC,1,COLUMN())),1)),6)</f>
        <v>0</v>
      </c>
      <c r="AQ474" s="852"/>
      <c r="AR474" s="852"/>
      <c r="AS474" s="852"/>
      <c r="AT474" s="852"/>
      <c r="AU474" s="852">
        <f ca="1">ROUND(SUM(AQ374,AR374,AS374,AT374)-SUM(OFFSET(INDEX(MO_CFS_CFO,1,COLUMN()),ROW(INDEX(MO_CFS_CFO_BeforeWC,1,COLUMN()))-ROW(INDEX(MO_CFS_CFO,1,COLUMN())),0,ROW(INDEX(MO_CFS_CFO,1,COLUMN()))-ROW(INDEX(MO_CFS_CFO_BeforeWC,1,COLUMN())),1)),6)</f>
        <v>0</v>
      </c>
      <c r="AV474" s="852"/>
      <c r="AW474" s="852"/>
      <c r="AX474" s="852"/>
      <c r="AY474" s="852"/>
      <c r="AZ474" s="852">
        <f ca="1">ROUND(SUM(AV374,AW374,AX374,AY374)-SUM(OFFSET(INDEX(MO_CFS_CFO,1,COLUMN()),ROW(INDEX(MO_CFS_CFO_BeforeWC,1,COLUMN()))-ROW(INDEX(MO_CFS_CFO,1,COLUMN())),0,ROW(INDEX(MO_CFS_CFO,1,COLUMN()))-ROW(INDEX(MO_CFS_CFO_BeforeWC,1,COLUMN())),1)),6)</f>
        <v>0</v>
      </c>
      <c r="BA474" s="852"/>
      <c r="BB474" s="852"/>
      <c r="BC474" s="852"/>
      <c r="BD474" s="852"/>
      <c r="BE474" s="852">
        <f ca="1">ROUND(SUM(BA374,BB374,BC374,BD374)-SUM(OFFSET(INDEX(MO_CFS_CFO,1,COLUMN()),ROW(INDEX(MO_CFS_CFO_BeforeWC,1,COLUMN()))-ROW(INDEX(MO_CFS_CFO,1,COLUMN())),0,ROW(INDEX(MO_CFS_CFO,1,COLUMN()))-ROW(INDEX(MO_CFS_CFO_BeforeWC,1,COLUMN())),1)),6)</f>
        <v>0</v>
      </c>
      <c r="BF474" s="852"/>
      <c r="BG474" s="852"/>
      <c r="BH474" s="853"/>
      <c r="BI474" s="852"/>
      <c r="BJ474" s="852">
        <f ca="1">ROUND(SUM(BF374,BG374,BH374,BI374)-SUM(OFFSET(INDEX(MO_CFS_CFO,1,COLUMN()),ROW(INDEX(MO_CFS_CFO_BeforeWC,1,COLUMN()))-ROW(INDEX(MO_CFS_CFO,1,COLUMN())),0,ROW(INDEX(MO_CFS_CFO,1,COLUMN()))-ROW(INDEX(MO_CFS_CFO_BeforeWC,1,COLUMN())),1)),6)</f>
        <v>0</v>
      </c>
      <c r="BK474" s="852"/>
      <c r="BL474" s="852"/>
      <c r="BM474" s="852"/>
      <c r="BN474" s="852"/>
      <c r="BO474" s="852">
        <f ca="1">ROUND(SUM(BK374,BL374,BM374,BN374)-SUM(OFFSET(INDEX(MO_CFS_CFO,1,COLUMN()),ROW(INDEX(MO_CFS_CFO_BeforeWC,1,COLUMN()))-ROW(INDEX(MO_CFS_CFO,1,COLUMN())),0,ROW(INDEX(MO_CFS_CFO,1,COLUMN()))-ROW(INDEX(MO_CFS_CFO_BeforeWC,1,COLUMN())),1)),6)</f>
        <v>0</v>
      </c>
      <c r="BP474" s="852"/>
      <c r="BQ474" s="852"/>
      <c r="BR474" s="852"/>
      <c r="BS474" s="816"/>
    </row>
    <row r="475" spans="1:71" s="223" customFormat="1" ht="15">
      <c r="A475" s="816" t="s">
        <v>194</v>
      </c>
      <c r="B475" s="527"/>
      <c r="C475" s="852"/>
      <c r="D475" s="852"/>
      <c r="E475" s="852"/>
      <c r="F475" s="852"/>
      <c r="G475" s="852"/>
      <c r="H475" s="852"/>
      <c r="I475" s="852"/>
      <c r="J475" s="852"/>
      <c r="K475" s="852"/>
      <c r="L475" s="852">
        <f ca="1">ROUND(SUM(H393,I393,J393,K393)-SUM(OFFSET(INDEX(MO_CFS_CFI,1,COLUMN()),ROW(INDEX(MO_SubSection_CFS_CFI,1,COLUMN()))-ROW(INDEX(MO_CFS_CFI,1,COLUMN())),0,ROW(INDEX(MO_CFS_CFI,1,COLUMN()))-ROW(INDEX(MO_SubSection_CFS_CFI,1,COLUMN())),1)),6)</f>
        <v>0</v>
      </c>
      <c r="M475" s="852"/>
      <c r="N475" s="852"/>
      <c r="O475" s="852"/>
      <c r="P475" s="852"/>
      <c r="Q475" s="852">
        <f ca="1">ROUND(SUM(M393,N393,O393,P393)-SUM(OFFSET(INDEX(MO_CFS_CFI,1,COLUMN()),ROW(INDEX(MO_SubSection_CFS_CFI,1,COLUMN()))-ROW(INDEX(MO_CFS_CFI,1,COLUMN())),0,ROW(INDEX(MO_CFS_CFI,1,COLUMN()))-ROW(INDEX(MO_SubSection_CFS_CFI,1,COLUMN())),1)),6)</f>
        <v>0</v>
      </c>
      <c r="R475" s="852"/>
      <c r="S475" s="852"/>
      <c r="T475" s="852"/>
      <c r="U475" s="852"/>
      <c r="V475" s="852">
        <f ca="1">ROUND(SUM(R393,S393,T393,U393)-SUM(OFFSET(INDEX(MO_CFS_CFI,1,COLUMN()),ROW(INDEX(MO_SubSection_CFS_CFI,1,COLUMN()))-ROW(INDEX(MO_CFS_CFI,1,COLUMN())),0,ROW(INDEX(MO_CFS_CFI,1,COLUMN()))-ROW(INDEX(MO_SubSection_CFS_CFI,1,COLUMN())),1)),6)</f>
        <v>0</v>
      </c>
      <c r="W475" s="852"/>
      <c r="X475" s="852"/>
      <c r="Y475" s="852"/>
      <c r="Z475" s="852"/>
      <c r="AA475" s="852">
        <f ca="1">ROUND(SUM(W393,X393,Y393,Z393)-SUM(OFFSET(INDEX(MO_CFS_CFI,1,COLUMN()),ROW(INDEX(MO_SubSection_CFS_CFI,1,COLUMN()))-ROW(INDEX(MO_CFS_CFI,1,COLUMN())),0,ROW(INDEX(MO_CFS_CFI,1,COLUMN()))-ROW(INDEX(MO_SubSection_CFS_CFI,1,COLUMN())),1)),6)</f>
        <v>0</v>
      </c>
      <c r="AB475" s="852"/>
      <c r="AC475" s="852"/>
      <c r="AD475" s="852"/>
      <c r="AE475" s="852"/>
      <c r="AF475" s="852">
        <f ca="1">ROUND(SUM(AB393,AC393,AD393,AE393)-SUM(OFFSET(INDEX(MO_CFS_CFI,1,COLUMN()),ROW(INDEX(MO_SubSection_CFS_CFI,1,COLUMN()))-ROW(INDEX(MO_CFS_CFI,1,COLUMN())),0,ROW(INDEX(MO_CFS_CFI,1,COLUMN()))-ROW(INDEX(MO_SubSection_CFS_CFI,1,COLUMN())),1)),6)</f>
        <v>0</v>
      </c>
      <c r="AG475" s="852"/>
      <c r="AH475" s="852"/>
      <c r="AI475" s="852"/>
      <c r="AJ475" s="852"/>
      <c r="AK475" s="852">
        <f ca="1">ROUND(SUM(AG393,AH393,AI393,AJ393)-SUM(OFFSET(INDEX(MO_CFS_CFI,1,COLUMN()),ROW(INDEX(MO_SubSection_CFS_CFI,1,COLUMN()))-ROW(INDEX(MO_CFS_CFI,1,COLUMN())),0,ROW(INDEX(MO_CFS_CFI,1,COLUMN()))-ROW(INDEX(MO_SubSection_CFS_CFI,1,COLUMN())),1)),6)</f>
        <v>0</v>
      </c>
      <c r="AL475" s="852"/>
      <c r="AM475" s="852"/>
      <c r="AN475" s="852"/>
      <c r="AO475" s="852"/>
      <c r="AP475" s="852">
        <f ca="1">ROUND(SUM(AL393,AM393,AN393,AO393)-SUM(OFFSET(INDEX(MO_CFS_CFI,1,COLUMN()),ROW(INDEX(MO_SubSection_CFS_CFI,1,COLUMN()))-ROW(INDEX(MO_CFS_CFI,1,COLUMN())),0,ROW(INDEX(MO_CFS_CFI,1,COLUMN()))-ROW(INDEX(MO_SubSection_CFS_CFI,1,COLUMN())),1)),6)</f>
        <v>0</v>
      </c>
      <c r="AQ475" s="852"/>
      <c r="AR475" s="852"/>
      <c r="AS475" s="852"/>
      <c r="AT475" s="852"/>
      <c r="AU475" s="852">
        <f ca="1">ROUND(SUM(AQ393,AR393,AS393,AT393)-SUM(OFFSET(INDEX(MO_CFS_CFI,1,COLUMN()),ROW(INDEX(MO_SubSection_CFS_CFI,1,COLUMN()))-ROW(INDEX(MO_CFS_CFI,1,COLUMN())),0,ROW(INDEX(MO_CFS_CFI,1,COLUMN()))-ROW(INDEX(MO_SubSection_CFS_CFI,1,COLUMN())),1)),6)</f>
        <v>0</v>
      </c>
      <c r="AV475" s="852"/>
      <c r="AW475" s="852"/>
      <c r="AX475" s="852"/>
      <c r="AY475" s="852"/>
      <c r="AZ475" s="852">
        <f ca="1">ROUND(SUM(AV393,AW393,AX393,AY393)-SUM(OFFSET(INDEX(MO_CFS_CFI,1,COLUMN()),ROW(INDEX(MO_SubSection_CFS_CFI,1,COLUMN()))-ROW(INDEX(MO_CFS_CFI,1,COLUMN())),0,ROW(INDEX(MO_CFS_CFI,1,COLUMN()))-ROW(INDEX(MO_SubSection_CFS_CFI,1,COLUMN())),1)),6)</f>
        <v>0</v>
      </c>
      <c r="BA475" s="852"/>
      <c r="BB475" s="852"/>
      <c r="BC475" s="852"/>
      <c r="BD475" s="852"/>
      <c r="BE475" s="852">
        <f ca="1">ROUND(SUM(BA393,BB393,BC393,BD393)-SUM(OFFSET(INDEX(MO_CFS_CFI,1,COLUMN()),ROW(INDEX(MO_SubSection_CFS_CFI,1,COLUMN()))-ROW(INDEX(MO_CFS_CFI,1,COLUMN())),0,ROW(INDEX(MO_CFS_CFI,1,COLUMN()))-ROW(INDEX(MO_SubSection_CFS_CFI,1,COLUMN())),1)),6)</f>
        <v>0</v>
      </c>
      <c r="BF475" s="852"/>
      <c r="BG475" s="852"/>
      <c r="BH475" s="853"/>
      <c r="BI475" s="852"/>
      <c r="BJ475" s="852">
        <f ca="1">ROUND(SUM(BF393,BG393,BH393,BI393)-SUM(OFFSET(INDEX(MO_CFS_CFI,1,COLUMN()),ROW(INDEX(MO_SubSection_CFS_CFI,1,COLUMN()))-ROW(INDEX(MO_CFS_CFI,1,COLUMN())),0,ROW(INDEX(MO_CFS_CFI,1,COLUMN()))-ROW(INDEX(MO_SubSection_CFS_CFI,1,COLUMN())),1)),6)</f>
        <v>0</v>
      </c>
      <c r="BK475" s="852"/>
      <c r="BL475" s="852"/>
      <c r="BM475" s="852"/>
      <c r="BN475" s="852"/>
      <c r="BO475" s="852">
        <f ca="1">ROUND(SUM(BK393,BL393,BM393,BN393)-SUM(OFFSET(INDEX(MO_CFS_CFI,1,COLUMN()),ROW(INDEX(MO_SubSection_CFS_CFI,1,COLUMN()))-ROW(INDEX(MO_CFS_CFI,1,COLUMN())),0,ROW(INDEX(MO_CFS_CFI,1,COLUMN()))-ROW(INDEX(MO_SubSection_CFS_CFI,1,COLUMN())),1)),6)</f>
        <v>0</v>
      </c>
      <c r="BP475" s="852"/>
      <c r="BQ475" s="852"/>
      <c r="BR475" s="852"/>
      <c r="BS475" s="816"/>
    </row>
    <row r="476" spans="1:71" s="223" customFormat="1" ht="15">
      <c r="A476" s="816" t="s">
        <v>195</v>
      </c>
      <c r="B476" s="527"/>
      <c r="C476" s="852"/>
      <c r="D476" s="852"/>
      <c r="E476" s="852"/>
      <c r="F476" s="852"/>
      <c r="G476" s="852"/>
      <c r="H476" s="852"/>
      <c r="I476" s="852"/>
      <c r="J476" s="852"/>
      <c r="K476" s="852"/>
      <c r="L476" s="852">
        <f ca="1">ROUND(SUM(H403,I403,J403,K403)-SUM(OFFSET(INDEX(MO_CFS_CFF,1,COLUMN()),ROW(INDEX(MO_SubSection_CFS_CFF,1,COLUMN()))-ROW(INDEX(MO_CFS_CFF,1,COLUMN())),0,ROW(INDEX(MO_CFS_CFF,1,COLUMN()))-ROW(INDEX(MO_SubSection_CFS_CFF,1,COLUMN())),1)),6)</f>
        <v>0</v>
      </c>
      <c r="M476" s="852"/>
      <c r="N476" s="852"/>
      <c r="O476" s="852"/>
      <c r="P476" s="852"/>
      <c r="Q476" s="852">
        <f ca="1">ROUND(SUM(M403,N403,O403,P403)-SUM(OFFSET(INDEX(MO_CFS_CFF,1,COLUMN()),ROW(INDEX(MO_SubSection_CFS_CFF,1,COLUMN()))-ROW(INDEX(MO_CFS_CFF,1,COLUMN())),0,ROW(INDEX(MO_CFS_CFF,1,COLUMN()))-ROW(INDEX(MO_SubSection_CFS_CFF,1,COLUMN())),1)),6)</f>
        <v>0</v>
      </c>
      <c r="R476" s="852"/>
      <c r="S476" s="852"/>
      <c r="T476" s="852"/>
      <c r="U476" s="852"/>
      <c r="V476" s="852">
        <f ca="1">ROUND(SUM(R403,S403,T403,U403)-SUM(OFFSET(INDEX(MO_CFS_CFF,1,COLUMN()),ROW(INDEX(MO_SubSection_CFS_CFF,1,COLUMN()))-ROW(INDEX(MO_CFS_CFF,1,COLUMN())),0,ROW(INDEX(MO_CFS_CFF,1,COLUMN()))-ROW(INDEX(MO_SubSection_CFS_CFF,1,COLUMN())),1)),6)</f>
        <v>0</v>
      </c>
      <c r="W476" s="852"/>
      <c r="X476" s="852"/>
      <c r="Y476" s="852"/>
      <c r="Z476" s="852"/>
      <c r="AA476" s="852">
        <f ca="1">ROUND(SUM(W403,X403,Y403,Z403)-SUM(OFFSET(INDEX(MO_CFS_CFF,1,COLUMN()),ROW(INDEX(MO_SubSection_CFS_CFF,1,COLUMN()))-ROW(INDEX(MO_CFS_CFF,1,COLUMN())),0,ROW(INDEX(MO_CFS_CFF,1,COLUMN()))-ROW(INDEX(MO_SubSection_CFS_CFF,1,COLUMN())),1)),6)</f>
        <v>0</v>
      </c>
      <c r="AB476" s="852"/>
      <c r="AC476" s="852"/>
      <c r="AD476" s="852"/>
      <c r="AE476" s="852"/>
      <c r="AF476" s="852">
        <f ca="1">ROUND(SUM(AB403,AC403,AD403,AE403)-SUM(OFFSET(INDEX(MO_CFS_CFF,1,COLUMN()),ROW(INDEX(MO_SubSection_CFS_CFF,1,COLUMN()))-ROW(INDEX(MO_CFS_CFF,1,COLUMN())),0,ROW(INDEX(MO_CFS_CFF,1,COLUMN()))-ROW(INDEX(MO_SubSection_CFS_CFF,1,COLUMN())),1)),6)</f>
        <v>0</v>
      </c>
      <c r="AG476" s="852"/>
      <c r="AH476" s="852"/>
      <c r="AI476" s="852"/>
      <c r="AJ476" s="852"/>
      <c r="AK476" s="852">
        <f ca="1">ROUND(SUM(AG403,AH403,AI403,AJ403)-SUM(OFFSET(INDEX(MO_CFS_CFF,1,COLUMN()),ROW(INDEX(MO_SubSection_CFS_CFF,1,COLUMN()))-ROW(INDEX(MO_CFS_CFF,1,COLUMN())),0,ROW(INDEX(MO_CFS_CFF,1,COLUMN()))-ROW(INDEX(MO_SubSection_CFS_CFF,1,COLUMN())),1)),6)</f>
        <v>0</v>
      </c>
      <c r="AL476" s="852"/>
      <c r="AM476" s="852"/>
      <c r="AN476" s="852"/>
      <c r="AO476" s="852"/>
      <c r="AP476" s="852">
        <f ca="1">ROUND(SUM(AL403,AM403,AN403,AO403)-SUM(OFFSET(INDEX(MO_CFS_CFF,1,COLUMN()),ROW(INDEX(MO_SubSection_CFS_CFF,1,COLUMN()))-ROW(INDEX(MO_CFS_CFF,1,COLUMN())),0,ROW(INDEX(MO_CFS_CFF,1,COLUMN()))-ROW(INDEX(MO_SubSection_CFS_CFF,1,COLUMN())),1)),6)</f>
        <v>0</v>
      </c>
      <c r="AQ476" s="852"/>
      <c r="AR476" s="852"/>
      <c r="AS476" s="852"/>
      <c r="AT476" s="852"/>
      <c r="AU476" s="852">
        <f ca="1">ROUND(SUM(AQ403,AR403,AS403,AT403)-SUM(OFFSET(INDEX(MO_CFS_CFF,1,COLUMN()),ROW(INDEX(MO_SubSection_CFS_CFF,1,COLUMN()))-ROW(INDEX(MO_CFS_CFF,1,COLUMN())),0,ROW(INDEX(MO_CFS_CFF,1,COLUMN()))-ROW(INDEX(MO_SubSection_CFS_CFF,1,COLUMN())),1)),6)</f>
        <v>0</v>
      </c>
      <c r="AV476" s="852"/>
      <c r="AW476" s="852"/>
      <c r="AX476" s="852"/>
      <c r="AY476" s="852"/>
      <c r="AZ476" s="852">
        <f ca="1">ROUND(SUM(AV403,AW403,AX403,AY403)-SUM(OFFSET(INDEX(MO_CFS_CFF,1,COLUMN()),ROW(INDEX(MO_SubSection_CFS_CFF,1,COLUMN()))-ROW(INDEX(MO_CFS_CFF,1,COLUMN())),0,ROW(INDEX(MO_CFS_CFF,1,COLUMN()))-ROW(INDEX(MO_SubSection_CFS_CFF,1,COLUMN())),1)),6)</f>
        <v>0</v>
      </c>
      <c r="BA476" s="852"/>
      <c r="BB476" s="852"/>
      <c r="BC476" s="852"/>
      <c r="BD476" s="852"/>
      <c r="BE476" s="852">
        <f ca="1">ROUND(SUM(BA403,BB403,BC403,BD403)-SUM(OFFSET(INDEX(MO_CFS_CFF,1,COLUMN()),ROW(INDEX(MO_SubSection_CFS_CFF,1,COLUMN()))-ROW(INDEX(MO_CFS_CFF,1,COLUMN())),0,ROW(INDEX(MO_CFS_CFF,1,COLUMN()))-ROW(INDEX(MO_SubSection_CFS_CFF,1,COLUMN())),1)),6)</f>
        <v>0</v>
      </c>
      <c r="BF476" s="852"/>
      <c r="BG476" s="852"/>
      <c r="BH476" s="853"/>
      <c r="BI476" s="852"/>
      <c r="BJ476" s="852">
        <f ca="1">ROUND(SUM(BF403,BG403,BH403,BI403)-SUM(OFFSET(INDEX(MO_CFS_CFF,1,COLUMN()),ROW(INDEX(MO_SubSection_CFS_CFF,1,COLUMN()))-ROW(INDEX(MO_CFS_CFF,1,COLUMN())),0,ROW(INDEX(MO_CFS_CFF,1,COLUMN()))-ROW(INDEX(MO_SubSection_CFS_CFF,1,COLUMN())),1)),6)</f>
        <v>0</v>
      </c>
      <c r="BK476" s="852"/>
      <c r="BL476" s="852"/>
      <c r="BM476" s="852"/>
      <c r="BN476" s="852"/>
      <c r="BO476" s="852">
        <f ca="1">ROUND(SUM(BK403,BL403,BM403,BN403)-SUM(OFFSET(INDEX(MO_CFS_CFF,1,COLUMN()),ROW(INDEX(MO_SubSection_CFS_CFF,1,COLUMN()))-ROW(INDEX(MO_CFS_CFF,1,COLUMN())),0,ROW(INDEX(MO_CFS_CFF,1,COLUMN()))-ROW(INDEX(MO_SubSection_CFS_CFF,1,COLUMN())),1)),6)</f>
        <v>0</v>
      </c>
      <c r="BP476" s="852"/>
      <c r="BQ476" s="852"/>
      <c r="BR476" s="852"/>
      <c r="BS476" s="816"/>
    </row>
    <row r="477" spans="1:71" s="223" customFormat="1" ht="15">
      <c r="A477" s="814"/>
      <c r="B477" s="527"/>
      <c r="C477" s="836"/>
      <c r="D477" s="836"/>
      <c r="E477" s="836"/>
      <c r="F477" s="836"/>
      <c r="G477" s="836"/>
      <c r="H477" s="836"/>
      <c r="I477" s="836"/>
      <c r="J477" s="836"/>
      <c r="K477" s="836"/>
      <c r="L477" s="836"/>
      <c r="M477" s="836"/>
      <c r="N477" s="836"/>
      <c r="O477" s="836"/>
      <c r="P477" s="836"/>
      <c r="Q477" s="836"/>
      <c r="R477" s="836"/>
      <c r="S477" s="836"/>
      <c r="T477" s="836"/>
      <c r="U477" s="836"/>
      <c r="V477" s="836"/>
      <c r="W477" s="836"/>
      <c r="X477" s="836"/>
      <c r="Y477" s="836"/>
      <c r="Z477" s="836"/>
      <c r="AA477" s="836"/>
      <c r="AB477" s="836"/>
      <c r="AC477" s="836"/>
      <c r="AD477" s="836"/>
      <c r="AE477" s="836"/>
      <c r="AF477" s="836"/>
      <c r="AG477" s="836"/>
      <c r="AH477" s="836"/>
      <c r="AI477" s="836"/>
      <c r="AJ477" s="836"/>
      <c r="AK477" s="836"/>
      <c r="AL477" s="836"/>
      <c r="AM477" s="836"/>
      <c r="AN477" s="836"/>
      <c r="AO477" s="836"/>
      <c r="AP477" s="836"/>
      <c r="AQ477" s="836"/>
      <c r="AR477" s="836"/>
      <c r="AS477" s="836"/>
      <c r="AT477" s="836"/>
      <c r="AU477" s="836"/>
      <c r="AV477" s="836"/>
      <c r="AW477" s="836"/>
      <c r="AX477" s="836"/>
      <c r="AY477" s="836"/>
      <c r="AZ477" s="836"/>
      <c r="BA477" s="836"/>
      <c r="BB477" s="836"/>
      <c r="BC477" s="836"/>
      <c r="BD477" s="836"/>
      <c r="BE477" s="836"/>
      <c r="BF477" s="836"/>
      <c r="BG477" s="836"/>
      <c r="BH477" s="837"/>
      <c r="BI477" s="836"/>
      <c r="BJ477" s="836"/>
      <c r="BK477" s="836"/>
      <c r="BL477" s="836"/>
      <c r="BM477" s="836"/>
      <c r="BN477" s="836"/>
      <c r="BO477" s="836"/>
      <c r="BP477" s="836"/>
      <c r="BQ477" s="836"/>
      <c r="BR477" s="836"/>
      <c r="BS477" s="816"/>
    </row>
    <row r="478" spans="1:71" s="40" customFormat="1" ht="15">
      <c r="A478" s="817" t="s">
        <v>196</v>
      </c>
      <c r="B478" s="817"/>
      <c r="C478" s="817"/>
      <c r="D478" s="817"/>
      <c r="E478" s="817"/>
      <c r="F478" s="817"/>
      <c r="G478" s="817"/>
      <c r="H478" s="817"/>
      <c r="I478" s="817"/>
      <c r="J478" s="817"/>
      <c r="K478" s="817"/>
      <c r="L478" s="817"/>
      <c r="M478" s="817"/>
      <c r="N478" s="817"/>
      <c r="O478" s="817"/>
      <c r="P478" s="817"/>
      <c r="Q478" s="817"/>
      <c r="R478" s="817"/>
      <c r="S478" s="817"/>
      <c r="T478" s="817"/>
      <c r="U478" s="817"/>
      <c r="V478" s="817"/>
      <c r="W478" s="817"/>
      <c r="X478" s="817"/>
      <c r="Y478" s="817"/>
      <c r="Z478" s="817"/>
      <c r="AA478" s="817"/>
      <c r="AB478" s="817"/>
      <c r="AC478" s="817"/>
      <c r="AD478" s="817"/>
      <c r="AE478" s="817"/>
      <c r="AF478" s="817"/>
      <c r="AG478" s="817"/>
      <c r="AH478" s="817"/>
      <c r="AI478" s="817"/>
      <c r="AJ478" s="817"/>
      <c r="AK478" s="817"/>
      <c r="AL478" s="817"/>
      <c r="AM478" s="817"/>
      <c r="AN478" s="817"/>
      <c r="AO478" s="817"/>
      <c r="AP478" s="817"/>
      <c r="AQ478" s="817"/>
      <c r="AR478" s="817"/>
      <c r="AS478" s="817"/>
      <c r="AT478" s="817"/>
      <c r="AU478" s="817"/>
      <c r="AV478" s="817"/>
      <c r="AW478" s="817"/>
      <c r="AX478" s="817"/>
      <c r="AY478" s="817"/>
      <c r="AZ478" s="817"/>
      <c r="BA478" s="817"/>
      <c r="BB478" s="817"/>
      <c r="BC478" s="817"/>
      <c r="BD478" s="817"/>
      <c r="BE478" s="817"/>
      <c r="BF478" s="817"/>
      <c r="BG478" s="817"/>
      <c r="BH478" s="818"/>
      <c r="BI478" s="817"/>
      <c r="BJ478" s="817"/>
      <c r="BK478" s="817"/>
      <c r="BL478" s="817"/>
      <c r="BM478" s="817"/>
      <c r="BN478" s="817"/>
      <c r="BO478" s="817"/>
      <c r="BP478" s="817"/>
      <c r="BQ478" s="817"/>
      <c r="BR478" s="817"/>
      <c r="BS478" s="475"/>
    </row>
    <row r="479" spans="1:71" ht="15">
      <c r="A479" s="528"/>
      <c r="B479" s="814"/>
      <c r="C479" s="274"/>
      <c r="D479" s="274"/>
      <c r="E479" s="814"/>
      <c r="F479" s="814"/>
      <c r="G479" s="814"/>
      <c r="H479" s="814"/>
      <c r="I479" s="814"/>
      <c r="J479" s="814"/>
      <c r="K479" s="814"/>
      <c r="L479" s="814"/>
      <c r="M479" s="814"/>
      <c r="N479" s="814"/>
      <c r="O479" s="814"/>
      <c r="P479" s="814"/>
      <c r="Q479" s="814"/>
      <c r="R479" s="814"/>
      <c r="S479" s="814"/>
      <c r="T479" s="814"/>
      <c r="U479" s="814"/>
      <c r="V479" s="814"/>
      <c r="W479" s="814"/>
      <c r="X479" s="814"/>
      <c r="Y479" s="814"/>
      <c r="Z479" s="814"/>
      <c r="AA479" s="814"/>
      <c r="AB479" s="814"/>
      <c r="AC479" s="814"/>
      <c r="AD479" s="814"/>
      <c r="AE479" s="814"/>
      <c r="AF479" s="814"/>
      <c r="AG479" s="814"/>
      <c r="AH479" s="814"/>
      <c r="AI479" s="814"/>
      <c r="AJ479" s="814"/>
      <c r="AK479" s="814"/>
      <c r="AL479" s="814"/>
      <c r="AM479" s="814"/>
      <c r="AN479" s="814"/>
      <c r="AO479" s="814"/>
      <c r="AP479" s="814"/>
      <c r="AQ479" s="814"/>
      <c r="AR479" s="814"/>
      <c r="AS479" s="814"/>
      <c r="AT479" s="814"/>
      <c r="AU479" s="814"/>
      <c r="AV479" s="814"/>
      <c r="AW479" s="814"/>
      <c r="AX479" s="814"/>
      <c r="AY479" s="814"/>
      <c r="AZ479" s="814"/>
      <c r="BA479" s="814"/>
      <c r="BB479" s="814"/>
      <c r="BC479" s="814"/>
      <c r="BD479" s="814"/>
      <c r="BE479" s="814"/>
      <c r="BF479" s="814"/>
      <c r="BG479" s="814"/>
      <c r="BH479" s="815"/>
      <c r="BI479" s="814"/>
      <c r="BJ479" s="814"/>
      <c r="BK479" s="814"/>
      <c r="BL479" s="814"/>
      <c r="BM479" s="814"/>
      <c r="BN479" s="814"/>
      <c r="BO479" s="814"/>
      <c r="BP479" s="814"/>
      <c r="BQ479" s="814"/>
      <c r="BR479" s="814"/>
      <c r="BS479" s="816"/>
    </row>
    <row r="480" spans="1:71" s="40" customFormat="1" ht="15">
      <c r="A480" s="339" t="s">
        <v>197</v>
      </c>
      <c r="B480" s="529"/>
      <c r="C480" s="530"/>
      <c r="D480" s="530"/>
      <c r="E480" s="185"/>
      <c r="F480" s="185"/>
      <c r="G480" s="185"/>
      <c r="H480" s="185"/>
      <c r="I480" s="185"/>
      <c r="J480" s="185"/>
      <c r="K480" s="185"/>
      <c r="L480" s="185"/>
      <c r="M480" s="185"/>
      <c r="N480" s="185"/>
      <c r="O480" s="185"/>
      <c r="P480" s="185"/>
      <c r="Q480" s="185"/>
      <c r="R480" s="185"/>
      <c r="S480" s="185"/>
      <c r="T480" s="185"/>
      <c r="U480" s="185"/>
      <c r="V480" s="185"/>
      <c r="W480" s="185"/>
      <c r="X480" s="185"/>
      <c r="Y480" s="185"/>
      <c r="Z480" s="185"/>
      <c r="AA480" s="185"/>
      <c r="AB480" s="185"/>
      <c r="AC480" s="185"/>
      <c r="AD480" s="185"/>
      <c r="AE480" s="185"/>
      <c r="AF480" s="185"/>
      <c r="AG480" s="185"/>
      <c r="AH480" s="185"/>
      <c r="AI480" s="185"/>
      <c r="AJ480" s="185"/>
      <c r="AK480" s="185"/>
      <c r="AL480" s="185"/>
      <c r="AM480" s="185"/>
      <c r="AN480" s="185"/>
      <c r="AO480" s="185"/>
      <c r="AP480" s="185"/>
      <c r="AQ480" s="185"/>
      <c r="AR480" s="185"/>
      <c r="AS480" s="185"/>
      <c r="AT480" s="185"/>
      <c r="AU480" s="185"/>
      <c r="AV480" s="185"/>
      <c r="AW480" s="185"/>
      <c r="AX480" s="185"/>
      <c r="AY480" s="185"/>
      <c r="AZ480" s="185"/>
      <c r="BA480" s="185"/>
      <c r="BB480" s="185"/>
      <c r="BC480" s="185"/>
      <c r="BD480" s="185"/>
      <c r="BE480" s="185"/>
      <c r="BF480" s="185"/>
      <c r="BG480" s="185"/>
      <c r="BH480" s="552"/>
      <c r="BI480" s="185"/>
      <c r="BJ480" s="185"/>
      <c r="BK480" s="185"/>
      <c r="BL480" s="185"/>
      <c r="BM480" s="185"/>
      <c r="BN480" s="185"/>
      <c r="BO480" s="185"/>
      <c r="BP480" s="185"/>
      <c r="BQ480" s="185"/>
      <c r="BR480" s="185"/>
      <c r="BS480" s="100"/>
    </row>
    <row r="481" spans="1:71" s="40" customFormat="1" ht="15">
      <c r="A481" s="792" t="s">
        <v>429</v>
      </c>
      <c r="B481" s="531"/>
      <c r="C481" s="532"/>
      <c r="D481" s="532"/>
      <c r="E481" s="176"/>
      <c r="F481" s="176"/>
      <c r="G481" s="176"/>
      <c r="H481" s="176"/>
      <c r="I481" s="176"/>
      <c r="J481" s="176"/>
      <c r="K481" s="176"/>
      <c r="L481" s="176"/>
      <c r="M481" s="176"/>
      <c r="N481" s="176"/>
      <c r="O481" s="176"/>
      <c r="P481" s="176"/>
      <c r="Q481" s="176"/>
      <c r="R481" s="176"/>
      <c r="S481" s="176"/>
      <c r="T481" s="176"/>
      <c r="U481" s="176"/>
      <c r="V481" s="176"/>
      <c r="W481" s="176"/>
      <c r="X481" s="176"/>
      <c r="Y481" s="176"/>
      <c r="Z481" s="176"/>
      <c r="AA481" s="176"/>
      <c r="AB481" s="176"/>
      <c r="AC481" s="176"/>
      <c r="AD481" s="176"/>
      <c r="AE481" s="176"/>
      <c r="AF481" s="176"/>
      <c r="AG481" s="176"/>
      <c r="AH481" s="176"/>
      <c r="AI481" s="176"/>
      <c r="AJ481" s="176"/>
      <c r="AK481" s="176"/>
      <c r="AL481" s="176"/>
      <c r="AM481" s="176"/>
      <c r="AN481" s="176"/>
      <c r="AO481" s="176"/>
      <c r="AP481" s="176"/>
      <c r="AQ481" s="176"/>
      <c r="AR481" s="176"/>
      <c r="AS481" s="176"/>
      <c r="AT481" s="176"/>
      <c r="AU481" s="176"/>
      <c r="AV481" s="176"/>
      <c r="AW481" s="176"/>
      <c r="AX481" s="176"/>
      <c r="AY481" s="176"/>
      <c r="AZ481" s="176"/>
      <c r="BA481" s="176"/>
      <c r="BB481" s="176"/>
      <c r="BC481" s="176"/>
      <c r="BD481" s="176"/>
      <c r="BE481" s="176"/>
      <c r="BF481" s="176"/>
      <c r="BG481" s="176"/>
      <c r="BH481" s="551"/>
      <c r="BI481" s="176"/>
      <c r="BJ481" s="176"/>
      <c r="BK481" s="176"/>
      <c r="BL481" s="176"/>
      <c r="BM481" s="176"/>
      <c r="BN481" s="176"/>
      <c r="BO481" s="176"/>
      <c r="BP481" s="176"/>
      <c r="BQ481" s="176"/>
      <c r="BR481" s="176"/>
      <c r="BS481" s="100"/>
    </row>
    <row r="482" spans="1:71" ht="15">
      <c r="A482" s="340" t="s">
        <v>198</v>
      </c>
      <c r="B482" s="531"/>
      <c r="C482" s="532"/>
      <c r="D482" s="532"/>
      <c r="E482" s="176"/>
      <c r="F482" s="176"/>
      <c r="G482" s="176"/>
      <c r="H482" s="176"/>
      <c r="I482" s="176"/>
      <c r="J482" s="176"/>
      <c r="K482" s="176"/>
      <c r="L482" s="176"/>
      <c r="M482" s="176"/>
      <c r="N482" s="176"/>
      <c r="O482" s="176"/>
      <c r="P482" s="176"/>
      <c r="Q482" s="176"/>
      <c r="R482" s="176"/>
      <c r="S482" s="176"/>
      <c r="T482" s="176"/>
      <c r="U482" s="176"/>
      <c r="V482" s="176"/>
      <c r="W482" s="176"/>
      <c r="X482" s="176"/>
      <c r="Y482" s="176"/>
      <c r="Z482" s="176"/>
      <c r="AA482" s="176"/>
      <c r="AB482" s="176"/>
      <c r="AC482" s="176"/>
      <c r="AD482" s="176"/>
      <c r="AE482" s="176"/>
      <c r="AF482" s="176"/>
      <c r="AG482" s="176"/>
      <c r="AH482" s="176"/>
      <c r="AI482" s="176"/>
      <c r="AJ482" s="176"/>
      <c r="AK482" s="176"/>
      <c r="AL482" s="176"/>
      <c r="AM482" s="176"/>
      <c r="AN482" s="176"/>
      <c r="AO482" s="176"/>
      <c r="AP482" s="176"/>
      <c r="AQ482" s="176"/>
      <c r="AR482" s="176"/>
      <c r="AS482" s="176"/>
      <c r="AT482" s="176"/>
      <c r="AU482" s="176"/>
      <c r="AV482" s="176"/>
      <c r="AW482" s="176"/>
      <c r="AX482" s="176"/>
      <c r="AY482" s="176"/>
      <c r="AZ482" s="176"/>
      <c r="BA482" s="176"/>
      <c r="BB482" s="176"/>
      <c r="BC482" s="176"/>
      <c r="BD482" s="176"/>
      <c r="BE482" s="176"/>
      <c r="BF482" s="176"/>
      <c r="BG482" s="176"/>
      <c r="BH482" s="551"/>
      <c r="BI482" s="176"/>
      <c r="BJ482" s="176"/>
      <c r="BK482" s="176"/>
      <c r="BL482" s="176"/>
      <c r="BM482" s="176"/>
      <c r="BN482" s="176"/>
      <c r="BO482" s="176"/>
      <c r="BP482" s="176"/>
      <c r="BQ482" s="176"/>
      <c r="BR482" s="176"/>
      <c r="BS482" s="229"/>
    </row>
    <row r="483" spans="1:71" ht="15">
      <c r="A483" s="341" t="s">
        <v>199</v>
      </c>
      <c r="B483" s="531"/>
      <c r="C483" s="532"/>
      <c r="D483" s="532"/>
      <c r="E483" s="176"/>
      <c r="F483" s="176"/>
      <c r="G483" s="176"/>
      <c r="H483" s="176"/>
      <c r="I483" s="176"/>
      <c r="J483" s="176"/>
      <c r="K483" s="176"/>
      <c r="L483" s="176"/>
      <c r="M483" s="176"/>
      <c r="N483" s="176"/>
      <c r="O483" s="176"/>
      <c r="P483" s="176"/>
      <c r="Q483" s="176"/>
      <c r="R483" s="176"/>
      <c r="S483" s="176"/>
      <c r="T483" s="176"/>
      <c r="U483" s="176"/>
      <c r="V483" s="176"/>
      <c r="W483" s="176"/>
      <c r="X483" s="176"/>
      <c r="Y483" s="176"/>
      <c r="Z483" s="176"/>
      <c r="AA483" s="176"/>
      <c r="AB483" s="176"/>
      <c r="AC483" s="176"/>
      <c r="AD483" s="176"/>
      <c r="AE483" s="176"/>
      <c r="AF483" s="176"/>
      <c r="AG483" s="176"/>
      <c r="AH483" s="176"/>
      <c r="AI483" s="176"/>
      <c r="AJ483" s="176"/>
      <c r="AK483" s="176"/>
      <c r="AL483" s="176"/>
      <c r="AM483" s="176"/>
      <c r="AN483" s="176"/>
      <c r="AO483" s="176"/>
      <c r="AP483" s="176"/>
      <c r="AQ483" s="176"/>
      <c r="AR483" s="176"/>
      <c r="AS483" s="176"/>
      <c r="AT483" s="176"/>
      <c r="AU483" s="176"/>
      <c r="AV483" s="176"/>
      <c r="AW483" s="176"/>
      <c r="AX483" s="176"/>
      <c r="AY483" s="176"/>
      <c r="AZ483" s="176"/>
      <c r="BA483" s="176"/>
      <c r="BB483" s="176"/>
      <c r="BC483" s="176"/>
      <c r="BD483" s="176"/>
      <c r="BE483" s="176"/>
      <c r="BF483" s="176"/>
      <c r="BG483" s="176"/>
      <c r="BH483" s="551"/>
      <c r="BI483" s="176"/>
      <c r="BJ483" s="176"/>
      <c r="BK483" s="176"/>
      <c r="BL483" s="176"/>
      <c r="BM483" s="176"/>
      <c r="BN483" s="176"/>
      <c r="BO483" s="176"/>
      <c r="BP483" s="176"/>
      <c r="BQ483" s="176"/>
      <c r="BR483" s="176"/>
      <c r="BS483" s="229"/>
    </row>
    <row r="484" spans="1:71" ht="15">
      <c r="A484" s="342" t="s">
        <v>200</v>
      </c>
      <c r="B484" s="531"/>
      <c r="C484" s="532"/>
      <c r="D484" s="532"/>
      <c r="E484" s="176"/>
      <c r="F484" s="176"/>
      <c r="G484" s="176"/>
      <c r="H484" s="176"/>
      <c r="I484" s="176"/>
      <c r="J484" s="176"/>
      <c r="K484" s="176"/>
      <c r="L484" s="176"/>
      <c r="M484" s="176"/>
      <c r="N484" s="176"/>
      <c r="O484" s="176"/>
      <c r="P484" s="176"/>
      <c r="Q484" s="176"/>
      <c r="R484" s="176"/>
      <c r="S484" s="176"/>
      <c r="T484" s="176"/>
      <c r="U484" s="176"/>
      <c r="V484" s="176"/>
      <c r="W484" s="176"/>
      <c r="X484" s="176"/>
      <c r="Y484" s="176"/>
      <c r="Z484" s="176"/>
      <c r="AA484" s="176"/>
      <c r="AB484" s="176"/>
      <c r="AC484" s="176"/>
      <c r="AD484" s="176"/>
      <c r="AE484" s="176"/>
      <c r="AF484" s="176"/>
      <c r="AG484" s="176"/>
      <c r="AH484" s="176"/>
      <c r="AI484" s="176"/>
      <c r="AJ484" s="176"/>
      <c r="AK484" s="176"/>
      <c r="AL484" s="176"/>
      <c r="AM484" s="176"/>
      <c r="AN484" s="176"/>
      <c r="AO484" s="176"/>
      <c r="AP484" s="176"/>
      <c r="AQ484" s="176"/>
      <c r="AR484" s="176"/>
      <c r="AS484" s="176"/>
      <c r="AT484" s="176"/>
      <c r="AU484" s="176"/>
      <c r="AV484" s="176"/>
      <c r="AW484" s="176"/>
      <c r="AX484" s="176"/>
      <c r="AY484" s="176"/>
      <c r="AZ484" s="176"/>
      <c r="BA484" s="176"/>
      <c r="BB484" s="176"/>
      <c r="BC484" s="176"/>
      <c r="BD484" s="176"/>
      <c r="BE484" s="176"/>
      <c r="BF484" s="176"/>
      <c r="BG484" s="176"/>
      <c r="BH484" s="551"/>
      <c r="BI484" s="176"/>
      <c r="BJ484" s="176"/>
      <c r="BK484" s="176"/>
      <c r="BL484" s="176"/>
      <c r="BM484" s="176"/>
      <c r="BN484" s="176"/>
      <c r="BO484" s="176"/>
      <c r="BP484" s="176"/>
      <c r="BQ484" s="176"/>
      <c r="BR484" s="176"/>
      <c r="BS484" s="229"/>
    </row>
    <row r="485" spans="1:71" ht="15">
      <c r="A485" s="461" t="s">
        <v>201</v>
      </c>
      <c r="B485" s="531"/>
      <c r="C485" s="532"/>
      <c r="D485" s="532"/>
      <c r="E485" s="176"/>
      <c r="F485" s="176"/>
      <c r="G485" s="176"/>
      <c r="H485" s="176"/>
      <c r="I485" s="176"/>
      <c r="J485" s="176"/>
      <c r="K485" s="176"/>
      <c r="L485" s="176"/>
      <c r="M485" s="176"/>
      <c r="N485" s="176"/>
      <c r="O485" s="176"/>
      <c r="P485" s="176"/>
      <c r="Q485" s="176"/>
      <c r="R485" s="176"/>
      <c r="S485" s="176"/>
      <c r="T485" s="176"/>
      <c r="U485" s="176"/>
      <c r="V485" s="176"/>
      <c r="W485" s="176"/>
      <c r="X485" s="176"/>
      <c r="Y485" s="176"/>
      <c r="Z485" s="176"/>
      <c r="AA485" s="176"/>
      <c r="AB485" s="176"/>
      <c r="AC485" s="176"/>
      <c r="AD485" s="176"/>
      <c r="AE485" s="176"/>
      <c r="AF485" s="176"/>
      <c r="AG485" s="176"/>
      <c r="AH485" s="176"/>
      <c r="AI485" s="176"/>
      <c r="AJ485" s="176"/>
      <c r="AK485" s="176"/>
      <c r="AL485" s="176"/>
      <c r="AM485" s="176"/>
      <c r="AN485" s="176"/>
      <c r="AO485" s="176"/>
      <c r="AP485" s="176"/>
      <c r="AQ485" s="176"/>
      <c r="AR485" s="176"/>
      <c r="AS485" s="176"/>
      <c r="AT485" s="176"/>
      <c r="AU485" s="176"/>
      <c r="AV485" s="176"/>
      <c r="AW485" s="176"/>
      <c r="AX485" s="176"/>
      <c r="AY485" s="176"/>
      <c r="AZ485" s="176"/>
      <c r="BA485" s="176"/>
      <c r="BB485" s="176"/>
      <c r="BC485" s="176"/>
      <c r="BD485" s="176"/>
      <c r="BE485" s="176"/>
      <c r="BF485" s="176"/>
      <c r="BG485" s="176"/>
      <c r="BH485" s="551"/>
      <c r="BI485" s="176"/>
      <c r="BJ485" s="176"/>
      <c r="BK485" s="176"/>
      <c r="BL485" s="176"/>
      <c r="BM485" s="176"/>
      <c r="BN485" s="176"/>
      <c r="BO485" s="176"/>
      <c r="BP485" s="176"/>
      <c r="BQ485" s="176"/>
      <c r="BR485" s="176"/>
      <c r="BS485" s="229"/>
    </row>
    <row r="486" spans="1:71" ht="15">
      <c r="A486" s="319"/>
      <c r="B486" s="533"/>
      <c r="C486" s="532"/>
      <c r="D486" s="532"/>
      <c r="E486" s="176"/>
      <c r="F486" s="176"/>
      <c r="G486" s="176"/>
      <c r="H486" s="176"/>
      <c r="I486" s="176"/>
      <c r="J486" s="176"/>
      <c r="K486" s="176"/>
      <c r="L486" s="176"/>
      <c r="M486" s="176"/>
      <c r="N486" s="176"/>
      <c r="O486" s="176"/>
      <c r="P486" s="176"/>
      <c r="Q486" s="176"/>
      <c r="R486" s="176"/>
      <c r="S486" s="176"/>
      <c r="T486" s="176"/>
      <c r="U486" s="176"/>
      <c r="V486" s="176"/>
      <c r="W486" s="176"/>
      <c r="X486" s="176"/>
      <c r="Y486" s="176"/>
      <c r="Z486" s="176"/>
      <c r="AA486" s="176"/>
      <c r="AB486" s="176"/>
      <c r="AC486" s="176"/>
      <c r="AD486" s="176"/>
      <c r="AE486" s="176"/>
      <c r="AF486" s="176"/>
      <c r="AG486" s="176"/>
      <c r="AH486" s="176"/>
      <c r="AI486" s="176"/>
      <c r="AJ486" s="176"/>
      <c r="AK486" s="176"/>
      <c r="AL486" s="176"/>
      <c r="AM486" s="176"/>
      <c r="AN486" s="176"/>
      <c r="AO486" s="176"/>
      <c r="AP486" s="176"/>
      <c r="AQ486" s="176"/>
      <c r="AR486" s="176"/>
      <c r="AS486" s="176"/>
      <c r="AT486" s="176"/>
      <c r="AU486" s="176"/>
      <c r="AV486" s="176"/>
      <c r="AW486" s="176"/>
      <c r="AX486" s="176"/>
      <c r="AY486" s="176"/>
      <c r="AZ486" s="176"/>
      <c r="BA486" s="176"/>
      <c r="BB486" s="176"/>
      <c r="BC486" s="176"/>
      <c r="BD486" s="176"/>
      <c r="BE486" s="176"/>
      <c r="BF486" s="176"/>
      <c r="BG486" s="176"/>
      <c r="BH486" s="551"/>
      <c r="BI486" s="176"/>
      <c r="BJ486" s="176"/>
      <c r="BK486" s="176"/>
      <c r="BL486" s="176"/>
      <c r="BM486" s="176"/>
      <c r="BN486" s="176"/>
      <c r="BO486" s="176"/>
      <c r="BP486" s="176"/>
      <c r="BQ486" s="176"/>
      <c r="BR486" s="176"/>
      <c r="BS486" s="229"/>
    </row>
    <row r="487" spans="1:71" s="40" customFormat="1" ht="15">
      <c r="A487" s="343" t="s">
        <v>202</v>
      </c>
      <c r="B487" s="547"/>
      <c r="C487" s="534"/>
      <c r="D487" s="534"/>
      <c r="E487" s="534"/>
      <c r="F487" s="534"/>
      <c r="G487" s="534"/>
      <c r="H487" s="534"/>
      <c r="I487" s="534"/>
      <c r="J487" s="534"/>
      <c r="K487" s="534"/>
      <c r="L487" s="534"/>
      <c r="M487" s="534"/>
      <c r="N487" s="534"/>
      <c r="O487" s="534"/>
      <c r="P487" s="534"/>
      <c r="Q487" s="534"/>
      <c r="R487" s="534"/>
      <c r="S487" s="534"/>
      <c r="T487" s="534"/>
      <c r="U487" s="534"/>
      <c r="V487" s="534"/>
      <c r="W487" s="534"/>
      <c r="X487" s="534"/>
      <c r="Y487" s="534"/>
      <c r="Z487" s="534"/>
      <c r="AA487" s="534"/>
      <c r="AB487" s="534"/>
      <c r="AC487" s="534"/>
      <c r="AD487" s="534"/>
      <c r="AE487" s="534"/>
      <c r="AF487" s="534"/>
      <c r="AG487" s="534"/>
      <c r="AH487" s="534"/>
      <c r="AI487" s="534"/>
      <c r="AJ487" s="534"/>
      <c r="AK487" s="534"/>
      <c r="AL487" s="534"/>
      <c r="AM487" s="534"/>
      <c r="AN487" s="534"/>
      <c r="AO487" s="534"/>
      <c r="AP487" s="534"/>
      <c r="AQ487" s="534"/>
      <c r="AR487" s="534"/>
      <c r="AS487" s="534"/>
      <c r="AT487" s="534"/>
      <c r="AU487" s="534"/>
      <c r="AV487" s="534"/>
      <c r="AW487" s="534"/>
      <c r="AX487" s="534"/>
      <c r="AY487" s="534"/>
      <c r="AZ487" s="534"/>
      <c r="BA487" s="534"/>
      <c r="BB487" s="534"/>
      <c r="BC487" s="534"/>
      <c r="BD487" s="534"/>
      <c r="BE487" s="534"/>
      <c r="BF487" s="534"/>
      <c r="BG487" s="534"/>
      <c r="BH487" s="555"/>
      <c r="BI487" s="534"/>
      <c r="BJ487" s="534"/>
      <c r="BK487" s="534"/>
      <c r="BL487" s="534"/>
      <c r="BM487" s="534"/>
      <c r="BN487" s="534"/>
      <c r="BO487" s="534"/>
      <c r="BP487" s="534"/>
      <c r="BQ487" s="534"/>
      <c r="BR487" s="534"/>
      <c r="BS487" s="243"/>
    </row>
    <row r="488" spans="1:71" ht="15">
      <c r="A488" s="337" t="s">
        <v>203</v>
      </c>
      <c r="B488" s="946">
        <v>1</v>
      </c>
      <c r="C488" s="245"/>
      <c r="D488" s="532"/>
      <c r="E488" s="176"/>
      <c r="F488" s="176"/>
      <c r="G488" s="176"/>
      <c r="H488" s="176"/>
      <c r="I488" s="176"/>
      <c r="J488" s="176"/>
      <c r="K488" s="176"/>
      <c r="L488" s="176"/>
      <c r="M488" s="176"/>
      <c r="N488" s="176"/>
      <c r="O488" s="176"/>
      <c r="P488" s="176"/>
      <c r="Q488" s="176"/>
      <c r="R488" s="176"/>
      <c r="S488" s="176"/>
      <c r="T488" s="176"/>
      <c r="U488" s="176"/>
      <c r="V488" s="176"/>
      <c r="W488" s="176"/>
      <c r="X488" s="176"/>
      <c r="Y488" s="176"/>
      <c r="Z488" s="176"/>
      <c r="AA488" s="176"/>
      <c r="AB488" s="176"/>
      <c r="AC488" s="176"/>
      <c r="AD488" s="176"/>
      <c r="AE488" s="176"/>
      <c r="AF488" s="176"/>
      <c r="AG488" s="176"/>
      <c r="AH488" s="176"/>
      <c r="AI488" s="176"/>
      <c r="AJ488" s="176"/>
      <c r="AK488" s="176"/>
      <c r="AL488" s="176"/>
      <c r="AM488" s="176"/>
      <c r="AN488" s="176"/>
      <c r="AO488" s="176"/>
      <c r="AP488" s="176"/>
      <c r="AQ488" s="176"/>
      <c r="AR488" s="176"/>
      <c r="AS488" s="176"/>
      <c r="AT488" s="176"/>
      <c r="AU488" s="176"/>
      <c r="AV488" s="176"/>
      <c r="AW488" s="176"/>
      <c r="AX488" s="176"/>
      <c r="AY488" s="176"/>
      <c r="AZ488" s="176"/>
      <c r="BA488" s="176"/>
      <c r="BB488" s="176"/>
      <c r="BC488" s="176"/>
      <c r="BD488" s="176"/>
      <c r="BE488" s="176"/>
      <c r="BF488" s="176"/>
      <c r="BG488" s="176"/>
      <c r="BH488" s="551"/>
      <c r="BI488" s="176"/>
      <c r="BJ488" s="176"/>
      <c r="BK488" s="176"/>
      <c r="BL488" s="176"/>
      <c r="BM488" s="176"/>
      <c r="BN488" s="176"/>
      <c r="BO488" s="176"/>
      <c r="BP488" s="176"/>
      <c r="BQ488" s="176"/>
      <c r="BR488" s="176"/>
      <c r="BS488" s="229"/>
    </row>
    <row r="489" spans="1:71" ht="15">
      <c r="A489" s="337" t="s">
        <v>204</v>
      </c>
      <c r="B489" s="946">
        <v>2</v>
      </c>
      <c r="C489" s="245"/>
      <c r="D489" s="532"/>
      <c r="E489" s="176"/>
      <c r="F489" s="176"/>
      <c r="G489" s="176"/>
      <c r="H489" s="176"/>
      <c r="I489" s="176"/>
      <c r="J489" s="176"/>
      <c r="K489" s="176"/>
      <c r="L489" s="176"/>
      <c r="M489" s="176"/>
      <c r="N489" s="176"/>
      <c r="O489" s="176"/>
      <c r="P489" s="176"/>
      <c r="Q489" s="176"/>
      <c r="R489" s="176"/>
      <c r="S489" s="176"/>
      <c r="T489" s="176"/>
      <c r="U489" s="176"/>
      <c r="V489" s="176"/>
      <c r="W489" s="176"/>
      <c r="X489" s="176"/>
      <c r="Y489" s="176"/>
      <c r="Z489" s="176"/>
      <c r="AA489" s="176"/>
      <c r="AB489" s="176"/>
      <c r="AC489" s="176"/>
      <c r="AD489" s="176"/>
      <c r="AE489" s="176"/>
      <c r="AF489" s="176"/>
      <c r="AG489" s="176"/>
      <c r="AH489" s="176"/>
      <c r="AI489" s="176"/>
      <c r="AJ489" s="176"/>
      <c r="AK489" s="176"/>
      <c r="AL489" s="176"/>
      <c r="AM489" s="176"/>
      <c r="AN489" s="176"/>
      <c r="AO489" s="176"/>
      <c r="AP489" s="176"/>
      <c r="AQ489" s="176"/>
      <c r="AR489" s="176"/>
      <c r="AS489" s="176"/>
      <c r="AT489" s="176"/>
      <c r="AU489" s="176"/>
      <c r="AV489" s="176"/>
      <c r="AW489" s="176"/>
      <c r="AX489" s="176"/>
      <c r="AY489" s="176"/>
      <c r="AZ489" s="176"/>
      <c r="BA489" s="176"/>
      <c r="BB489" s="176"/>
      <c r="BC489" s="176"/>
      <c r="BD489" s="176"/>
      <c r="BE489" s="176"/>
      <c r="BF489" s="176"/>
      <c r="BG489" s="176"/>
      <c r="BH489" s="551"/>
      <c r="BI489" s="176"/>
      <c r="BJ489" s="176"/>
      <c r="BK489" s="176"/>
      <c r="BL489" s="176"/>
      <c r="BM489" s="176"/>
      <c r="BN489" s="176"/>
      <c r="BO489" s="176"/>
      <c r="BP489" s="176"/>
      <c r="BQ489" s="176"/>
      <c r="BR489" s="176"/>
      <c r="BS489" s="229"/>
    </row>
    <row r="490" spans="1:71" ht="15">
      <c r="A490" s="337" t="s">
        <v>99</v>
      </c>
      <c r="B490" s="946">
        <v>3</v>
      </c>
      <c r="C490" s="245"/>
      <c r="D490" s="532"/>
      <c r="E490" s="176"/>
      <c r="F490" s="176"/>
      <c r="G490" s="176"/>
      <c r="H490" s="176"/>
      <c r="I490" s="176"/>
      <c r="J490" s="176"/>
      <c r="K490" s="176"/>
      <c r="L490" s="176"/>
      <c r="M490" s="176"/>
      <c r="N490" s="176"/>
      <c r="O490" s="176"/>
      <c r="P490" s="176"/>
      <c r="Q490" s="176"/>
      <c r="R490" s="176"/>
      <c r="S490" s="176"/>
      <c r="T490" s="176"/>
      <c r="U490" s="176"/>
      <c r="V490" s="176"/>
      <c r="W490" s="176"/>
      <c r="X490" s="176"/>
      <c r="Y490" s="176"/>
      <c r="Z490" s="176"/>
      <c r="AA490" s="176"/>
      <c r="AB490" s="176"/>
      <c r="AC490" s="176"/>
      <c r="AD490" s="176"/>
      <c r="AE490" s="176"/>
      <c r="AF490" s="176"/>
      <c r="AG490" s="176"/>
      <c r="AH490" s="176"/>
      <c r="AI490" s="176"/>
      <c r="AJ490" s="176"/>
      <c r="AK490" s="176"/>
      <c r="AL490" s="176"/>
      <c r="AM490" s="176"/>
      <c r="AN490" s="176"/>
      <c r="AO490" s="176"/>
      <c r="AP490" s="176"/>
      <c r="AQ490" s="176"/>
      <c r="AR490" s="176"/>
      <c r="AS490" s="176"/>
      <c r="AT490" s="176"/>
      <c r="AU490" s="176"/>
      <c r="AV490" s="176"/>
      <c r="AW490" s="176"/>
      <c r="AX490" s="176"/>
      <c r="AY490" s="176"/>
      <c r="AZ490" s="176"/>
      <c r="BA490" s="176"/>
      <c r="BB490" s="176"/>
      <c r="BC490" s="176"/>
      <c r="BD490" s="176"/>
      <c r="BE490" s="176"/>
      <c r="BF490" s="176"/>
      <c r="BG490" s="176"/>
      <c r="BH490" s="551"/>
      <c r="BI490" s="176"/>
      <c r="BJ490" s="176"/>
      <c r="BK490" s="176"/>
      <c r="BL490" s="176"/>
      <c r="BM490" s="176"/>
      <c r="BN490" s="176"/>
      <c r="BO490" s="176"/>
      <c r="BP490" s="176"/>
      <c r="BQ490" s="176"/>
      <c r="BR490" s="176"/>
      <c r="BS490" s="229"/>
    </row>
    <row r="491" spans="1:71" ht="15">
      <c r="A491" s="338" t="s">
        <v>469</v>
      </c>
      <c r="B491" s="947">
        <v>4</v>
      </c>
      <c r="C491" s="245"/>
      <c r="D491" s="532"/>
      <c r="E491" s="176"/>
      <c r="F491" s="176"/>
      <c r="G491" s="176"/>
      <c r="H491" s="176"/>
      <c r="I491" s="176"/>
      <c r="J491" s="176"/>
      <c r="K491" s="176"/>
      <c r="L491" s="176"/>
      <c r="M491" s="176"/>
      <c r="N491" s="176"/>
      <c r="O491" s="176"/>
      <c r="P491" s="176"/>
      <c r="Q491" s="176"/>
      <c r="R491" s="176"/>
      <c r="S491" s="176"/>
      <c r="T491" s="176"/>
      <c r="U491" s="176"/>
      <c r="V491" s="176"/>
      <c r="W491" s="176"/>
      <c r="X491" s="176"/>
      <c r="Y491" s="176"/>
      <c r="Z491" s="176"/>
      <c r="AA491" s="176"/>
      <c r="AB491" s="176"/>
      <c r="AC491" s="176"/>
      <c r="AD491" s="176"/>
      <c r="AE491" s="176"/>
      <c r="AF491" s="176"/>
      <c r="AG491" s="176"/>
      <c r="AH491" s="176"/>
      <c r="AI491" s="176"/>
      <c r="AJ491" s="176"/>
      <c r="AK491" s="176"/>
      <c r="AL491" s="176"/>
      <c r="AM491" s="176"/>
      <c r="AN491" s="176"/>
      <c r="AO491" s="176"/>
      <c r="AP491" s="176"/>
      <c r="AQ491" s="176"/>
      <c r="AR491" s="176"/>
      <c r="AS491" s="176"/>
      <c r="AT491" s="176"/>
      <c r="AU491" s="176"/>
      <c r="AV491" s="176"/>
      <c r="AW491" s="176"/>
      <c r="AX491" s="176"/>
      <c r="AY491" s="176"/>
      <c r="AZ491" s="176"/>
      <c r="BA491" s="176"/>
      <c r="BB491" s="176"/>
      <c r="BC491" s="176"/>
      <c r="BD491" s="176"/>
      <c r="BE491" s="176"/>
      <c r="BF491" s="176"/>
      <c r="BG491" s="176"/>
      <c r="BH491" s="551"/>
      <c r="BI491" s="176"/>
      <c r="BJ491" s="176"/>
      <c r="BK491" s="176"/>
      <c r="BL491" s="176"/>
      <c r="BM491" s="176"/>
      <c r="BN491" s="176"/>
      <c r="BO491" s="176"/>
      <c r="BP491" s="176"/>
      <c r="BQ491" s="176"/>
      <c r="BR491" s="176"/>
      <c r="BS491" s="229"/>
    </row>
    <row r="492" spans="1:71" ht="15">
      <c r="A492" s="535"/>
      <c r="B492" s="536"/>
      <c r="C492" s="532"/>
      <c r="D492" s="532"/>
      <c r="E492" s="176"/>
      <c r="F492" s="176"/>
      <c r="G492" s="176"/>
      <c r="H492" s="176"/>
      <c r="I492" s="176"/>
      <c r="J492" s="176"/>
      <c r="K492" s="176"/>
      <c r="L492" s="176"/>
      <c r="M492" s="176"/>
      <c r="N492" s="176"/>
      <c r="O492" s="176"/>
      <c r="P492" s="176"/>
      <c r="Q492" s="176"/>
      <c r="R492" s="176"/>
      <c r="S492" s="176"/>
      <c r="T492" s="176"/>
      <c r="U492" s="176"/>
      <c r="V492" s="176"/>
      <c r="W492" s="176"/>
      <c r="X492" s="176"/>
      <c r="Y492" s="176"/>
      <c r="Z492" s="176"/>
      <c r="AA492" s="176"/>
      <c r="AB492" s="176"/>
      <c r="AC492" s="176"/>
      <c r="AD492" s="176"/>
      <c r="AE492" s="176"/>
      <c r="AF492" s="176"/>
      <c r="AG492" s="176"/>
      <c r="AH492" s="176"/>
      <c r="AI492" s="176"/>
      <c r="AJ492" s="176"/>
      <c r="AK492" s="176"/>
      <c r="AL492" s="176"/>
      <c r="AM492" s="176"/>
      <c r="AN492" s="176"/>
      <c r="AO492" s="176"/>
      <c r="AP492" s="176"/>
      <c r="AQ492" s="176"/>
      <c r="AR492" s="176"/>
      <c r="AS492" s="176"/>
      <c r="AT492" s="176"/>
      <c r="AU492" s="176"/>
      <c r="AV492" s="176"/>
      <c r="AW492" s="176"/>
      <c r="AX492" s="176"/>
      <c r="AY492" s="176"/>
      <c r="AZ492" s="176"/>
      <c r="BA492" s="176"/>
      <c r="BB492" s="176"/>
      <c r="BC492" s="176"/>
      <c r="BD492" s="176"/>
      <c r="BE492" s="176"/>
      <c r="BF492" s="176"/>
      <c r="BG492" s="176"/>
      <c r="BH492" s="551"/>
      <c r="BI492" s="176"/>
      <c r="BJ492" s="176"/>
      <c r="BK492" s="176"/>
      <c r="BL492" s="176"/>
      <c r="BM492" s="176"/>
      <c r="BN492" s="176"/>
      <c r="BO492" s="176"/>
      <c r="BP492" s="176"/>
      <c r="BQ492" s="176"/>
      <c r="BR492" s="176"/>
      <c r="BS492" s="229"/>
    </row>
    <row r="493" spans="1:71" ht="15">
      <c r="A493" s="355" t="s">
        <v>304</v>
      </c>
      <c r="B493" s="176"/>
      <c r="C493" s="532"/>
      <c r="D493" s="532"/>
      <c r="E493" s="176"/>
      <c r="F493" s="176"/>
      <c r="G493" s="176"/>
      <c r="H493" s="176"/>
      <c r="I493" s="176"/>
      <c r="J493" s="176"/>
      <c r="K493" s="176"/>
      <c r="L493" s="176"/>
      <c r="M493" s="176"/>
      <c r="N493" s="176"/>
      <c r="O493" s="176"/>
      <c r="P493" s="176"/>
      <c r="Q493" s="176"/>
      <c r="R493" s="176"/>
      <c r="S493" s="176"/>
      <c r="T493" s="176"/>
      <c r="U493" s="176"/>
      <c r="V493" s="176"/>
      <c r="W493" s="176"/>
      <c r="X493" s="176"/>
      <c r="Y493" s="176"/>
      <c r="Z493" s="176"/>
      <c r="AA493" s="176"/>
      <c r="AB493" s="176"/>
      <c r="AC493" s="176"/>
      <c r="AD493" s="176"/>
      <c r="AE493" s="176"/>
      <c r="AF493" s="176"/>
      <c r="AG493" s="176"/>
      <c r="AH493" s="176"/>
      <c r="AI493" s="176"/>
      <c r="AJ493" s="176"/>
      <c r="AK493" s="176"/>
      <c r="AL493" s="176"/>
      <c r="AM493" s="176"/>
      <c r="AN493" s="176"/>
      <c r="AO493" s="176"/>
      <c r="AP493" s="176"/>
      <c r="AQ493" s="176"/>
      <c r="AR493" s="176"/>
      <c r="AS493" s="176"/>
      <c r="AT493" s="176"/>
      <c r="AU493" s="176"/>
      <c r="AV493" s="176"/>
      <c r="AW493" s="176"/>
      <c r="AX493" s="176"/>
      <c r="AY493" s="176"/>
      <c r="AZ493" s="176"/>
      <c r="BA493" s="176"/>
      <c r="BB493" s="176"/>
      <c r="BC493" s="176"/>
      <c r="BD493" s="176"/>
      <c r="BE493" s="176"/>
      <c r="BF493" s="176"/>
      <c r="BG493" s="176"/>
      <c r="BH493" s="551"/>
      <c r="BI493" s="176"/>
      <c r="BJ493" s="176"/>
      <c r="BK493" s="176"/>
      <c r="BL493" s="176"/>
      <c r="BM493" s="176"/>
      <c r="BN493" s="176"/>
      <c r="BO493" s="176"/>
      <c r="BP493" s="176"/>
      <c r="BQ493" s="176"/>
      <c r="BR493" s="176"/>
      <c r="BS493" s="229"/>
    </row>
    <row r="494" spans="1:71" ht="15">
      <c r="A494" s="356" t="str">
        <f>MO_RIS_REV</f>
        <v>Net Revenue</v>
      </c>
      <c r="B494" s="176"/>
      <c r="C494" s="532"/>
      <c r="D494" s="532"/>
      <c r="E494" s="176"/>
      <c r="F494" s="176"/>
      <c r="G494" s="176"/>
      <c r="H494" s="176"/>
      <c r="I494" s="176"/>
      <c r="J494" s="176"/>
      <c r="K494" s="176"/>
      <c r="L494" s="176"/>
      <c r="M494" s="176"/>
      <c r="N494" s="176"/>
      <c r="O494" s="176"/>
      <c r="P494" s="176"/>
      <c r="Q494" s="176"/>
      <c r="R494" s="176"/>
      <c r="S494" s="176"/>
      <c r="T494" s="176"/>
      <c r="U494" s="176"/>
      <c r="V494" s="176"/>
      <c r="W494" s="176"/>
      <c r="X494" s="176"/>
      <c r="Y494" s="176"/>
      <c r="Z494" s="176"/>
      <c r="AA494" s="176"/>
      <c r="AB494" s="176"/>
      <c r="AC494" s="176"/>
      <c r="AD494" s="176"/>
      <c r="AE494" s="176"/>
      <c r="AF494" s="176"/>
      <c r="AG494" s="176"/>
      <c r="AH494" s="176"/>
      <c r="AI494" s="176"/>
      <c r="AJ494" s="176"/>
      <c r="AK494" s="176"/>
      <c r="AL494" s="176"/>
      <c r="AM494" s="176"/>
      <c r="AN494" s="176"/>
      <c r="AO494" s="176"/>
      <c r="AP494" s="176"/>
      <c r="AQ494" s="176"/>
      <c r="AR494" s="176"/>
      <c r="AS494" s="176"/>
      <c r="AT494" s="176"/>
      <c r="AU494" s="176"/>
      <c r="AV494" s="176"/>
      <c r="AW494" s="176"/>
      <c r="AX494" s="176"/>
      <c r="AY494" s="176"/>
      <c r="AZ494" s="176"/>
      <c r="BA494" s="176"/>
      <c r="BB494" s="176"/>
      <c r="BC494" s="176"/>
      <c r="BD494" s="176"/>
      <c r="BE494" s="176"/>
      <c r="BF494" s="176"/>
      <c r="BG494" s="176"/>
      <c r="BH494" s="551"/>
      <c r="BI494" s="176"/>
      <c r="BJ494" s="176"/>
      <c r="BK494" s="176"/>
      <c r="BL494" s="176"/>
      <c r="BM494" s="176"/>
      <c r="BN494" s="176"/>
      <c r="BO494" s="176"/>
      <c r="BP494" s="176"/>
      <c r="BQ494" s="176"/>
      <c r="BR494" s="176"/>
      <c r="BS494" s="229"/>
    </row>
    <row r="495" spans="1:71" ht="15">
      <c r="A495" s="356" t="str">
        <f>MO_RIS_EPS_WAD_Adj</f>
        <v>Adjusted Earnings Per Share - WAD</v>
      </c>
      <c r="B495" s="176"/>
      <c r="C495" s="532"/>
      <c r="D495" s="532"/>
      <c r="E495" s="176"/>
      <c r="F495" s="176"/>
      <c r="G495" s="176"/>
      <c r="H495" s="176"/>
      <c r="I495" s="176"/>
      <c r="J495" s="176"/>
      <c r="K495" s="176"/>
      <c r="L495" s="176"/>
      <c r="M495" s="176"/>
      <c r="N495" s="176"/>
      <c r="O495" s="176"/>
      <c r="P495" s="176"/>
      <c r="Q495" s="176"/>
      <c r="R495" s="176"/>
      <c r="S495" s="176"/>
      <c r="T495" s="176"/>
      <c r="U495" s="176"/>
      <c r="V495" s="176"/>
      <c r="W495" s="176"/>
      <c r="X495" s="176"/>
      <c r="Y495" s="176"/>
      <c r="Z495" s="176"/>
      <c r="AA495" s="176"/>
      <c r="AB495" s="176"/>
      <c r="AC495" s="176"/>
      <c r="AD495" s="176"/>
      <c r="AE495" s="176"/>
      <c r="AF495" s="176"/>
      <c r="AG495" s="176"/>
      <c r="AH495" s="176"/>
      <c r="AI495" s="176"/>
      <c r="AJ495" s="176"/>
      <c r="AK495" s="176"/>
      <c r="AL495" s="176"/>
      <c r="AM495" s="176"/>
      <c r="AN495" s="176"/>
      <c r="AO495" s="176"/>
      <c r="AP495" s="176"/>
      <c r="AQ495" s="176"/>
      <c r="AR495" s="176"/>
      <c r="AS495" s="176"/>
      <c r="AT495" s="176"/>
      <c r="AU495" s="176"/>
      <c r="AV495" s="176"/>
      <c r="AW495" s="176"/>
      <c r="AX495" s="176"/>
      <c r="AY495" s="176"/>
      <c r="AZ495" s="176"/>
      <c r="BA495" s="176"/>
      <c r="BB495" s="176"/>
      <c r="BC495" s="176"/>
      <c r="BD495" s="176"/>
      <c r="BE495" s="176"/>
      <c r="BF495" s="176"/>
      <c r="BG495" s="176"/>
      <c r="BH495" s="551"/>
      <c r="BI495" s="176"/>
      <c r="BJ495" s="176"/>
      <c r="BK495" s="176"/>
      <c r="BL495" s="176"/>
      <c r="BM495" s="176"/>
      <c r="BN495" s="176"/>
      <c r="BO495" s="176"/>
      <c r="BP495" s="176"/>
      <c r="BQ495" s="176"/>
      <c r="BR495" s="176"/>
      <c r="BS495" s="229"/>
    </row>
    <row r="496" spans="1:71" ht="15">
      <c r="A496" s="356" t="str">
        <f>MO_BSS_ROE</f>
        <v>Return on Average Common Equity, %</v>
      </c>
      <c r="B496" s="176"/>
      <c r="C496" s="532"/>
      <c r="D496" s="532"/>
      <c r="E496" s="176"/>
      <c r="F496" s="176"/>
      <c r="G496" s="176"/>
      <c r="H496" s="176"/>
      <c r="I496" s="176"/>
      <c r="J496" s="176"/>
      <c r="K496" s="176"/>
      <c r="L496" s="176"/>
      <c r="M496" s="176"/>
      <c r="N496" s="176"/>
      <c r="O496" s="176"/>
      <c r="P496" s="176"/>
      <c r="Q496" s="176"/>
      <c r="R496" s="176"/>
      <c r="S496" s="176"/>
      <c r="T496" s="176"/>
      <c r="U496" s="176"/>
      <c r="V496" s="176"/>
      <c r="W496" s="176"/>
      <c r="X496" s="176"/>
      <c r="Y496" s="176"/>
      <c r="Z496" s="176"/>
      <c r="AA496" s="176"/>
      <c r="AB496" s="176"/>
      <c r="AC496" s="176"/>
      <c r="AD496" s="176"/>
      <c r="AE496" s="176"/>
      <c r="AF496" s="176"/>
      <c r="AG496" s="176"/>
      <c r="AH496" s="176"/>
      <c r="AI496" s="176"/>
      <c r="AJ496" s="176"/>
      <c r="AK496" s="176"/>
      <c r="AL496" s="176"/>
      <c r="AM496" s="176"/>
      <c r="AN496" s="176"/>
      <c r="AO496" s="176"/>
      <c r="AP496" s="176"/>
      <c r="AQ496" s="176"/>
      <c r="AR496" s="176"/>
      <c r="AS496" s="176"/>
      <c r="AT496" s="176"/>
      <c r="AU496" s="176"/>
      <c r="AV496" s="176"/>
      <c r="AW496" s="176"/>
      <c r="AX496" s="176"/>
      <c r="AY496" s="176"/>
      <c r="AZ496" s="176"/>
      <c r="BA496" s="176"/>
      <c r="BB496" s="176"/>
      <c r="BC496" s="176"/>
      <c r="BD496" s="176"/>
      <c r="BE496" s="176"/>
      <c r="BF496" s="176"/>
      <c r="BG496" s="176"/>
      <c r="BH496" s="551"/>
      <c r="BI496" s="176"/>
      <c r="BJ496" s="176"/>
      <c r="BK496" s="176"/>
      <c r="BL496" s="176"/>
      <c r="BM496" s="176"/>
      <c r="BN496" s="176"/>
      <c r="BO496" s="176"/>
      <c r="BP496" s="176"/>
      <c r="BQ496" s="176"/>
      <c r="BR496" s="176"/>
      <c r="BS496" s="229"/>
    </row>
    <row r="497" spans="1:71" ht="15">
      <c r="A497" s="356" t="str">
        <f>MO_BSS_BVPS</f>
        <v>Book Value per Common Share</v>
      </c>
      <c r="B497" s="176"/>
      <c r="C497" s="532"/>
      <c r="D497" s="532"/>
      <c r="E497" s="176"/>
      <c r="F497" s="176"/>
      <c r="G497" s="176"/>
      <c r="H497" s="176"/>
      <c r="I497" s="176"/>
      <c r="J497" s="176"/>
      <c r="K497" s="176"/>
      <c r="L497" s="176"/>
      <c r="M497" s="176"/>
      <c r="N497" s="176"/>
      <c r="O497" s="176"/>
      <c r="P497" s="176"/>
      <c r="Q497" s="176"/>
      <c r="R497" s="176"/>
      <c r="S497" s="176"/>
      <c r="T497" s="176"/>
      <c r="U497" s="176"/>
      <c r="V497" s="176"/>
      <c r="W497" s="176"/>
      <c r="X497" s="176"/>
      <c r="Y497" s="176"/>
      <c r="Z497" s="176"/>
      <c r="AA497" s="176"/>
      <c r="AB497" s="176"/>
      <c r="AC497" s="176"/>
      <c r="AD497" s="176"/>
      <c r="AE497" s="176"/>
      <c r="AF497" s="176"/>
      <c r="AG497" s="176"/>
      <c r="AH497" s="176"/>
      <c r="AI497" s="176"/>
      <c r="AJ497" s="176"/>
      <c r="AK497" s="176"/>
      <c r="AL497" s="176"/>
      <c r="AM497" s="176"/>
      <c r="AN497" s="176"/>
      <c r="AO497" s="176"/>
      <c r="AP497" s="176"/>
      <c r="AQ497" s="176"/>
      <c r="AR497" s="176"/>
      <c r="AS497" s="176"/>
      <c r="AT497" s="176"/>
      <c r="AU497" s="176"/>
      <c r="AV497" s="176"/>
      <c r="AW497" s="176"/>
      <c r="AX497" s="176"/>
      <c r="AY497" s="176"/>
      <c r="AZ497" s="176"/>
      <c r="BA497" s="176"/>
      <c r="BB497" s="176"/>
      <c r="BC497" s="176"/>
      <c r="BD497" s="176"/>
      <c r="BE497" s="176"/>
      <c r="BF497" s="176"/>
      <c r="BG497" s="176"/>
      <c r="BH497" s="551"/>
      <c r="BI497" s="176"/>
      <c r="BJ497" s="176"/>
      <c r="BK497" s="176"/>
      <c r="BL497" s="176"/>
      <c r="BM497" s="176"/>
      <c r="BN497" s="176"/>
      <c r="BO497" s="176"/>
      <c r="BP497" s="176"/>
      <c r="BQ497" s="176"/>
      <c r="BR497" s="176"/>
      <c r="BS497" s="229"/>
    </row>
    <row r="498" spans="1:71" ht="15">
      <c r="A498" s="356" t="str">
        <f>MO_VA_P_ToE</f>
        <v>P/E - EoP</v>
      </c>
      <c r="B498" s="176"/>
      <c r="C498" s="532"/>
      <c r="D498" s="532"/>
      <c r="E498" s="176"/>
      <c r="F498" s="176"/>
      <c r="G498" s="176"/>
      <c r="H498" s="176"/>
      <c r="I498" s="176"/>
      <c r="J498" s="176"/>
      <c r="K498" s="176"/>
      <c r="L498" s="176"/>
      <c r="M498" s="176"/>
      <c r="N498" s="176"/>
      <c r="O498" s="176"/>
      <c r="P498" s="176"/>
      <c r="Q498" s="176"/>
      <c r="R498" s="176"/>
      <c r="S498" s="176"/>
      <c r="T498" s="176"/>
      <c r="U498" s="176"/>
      <c r="V498" s="176"/>
      <c r="W498" s="176"/>
      <c r="X498" s="176"/>
      <c r="Y498" s="176"/>
      <c r="Z498" s="176"/>
      <c r="AA498" s="176"/>
      <c r="AB498" s="176"/>
      <c r="AC498" s="176"/>
      <c r="AD498" s="176"/>
      <c r="AE498" s="176"/>
      <c r="AF498" s="176"/>
      <c r="AG498" s="176"/>
      <c r="AH498" s="176"/>
      <c r="AI498" s="176"/>
      <c r="AJ498" s="176"/>
      <c r="AK498" s="176"/>
      <c r="AL498" s="176"/>
      <c r="AM498" s="176"/>
      <c r="AN498" s="176"/>
      <c r="AO498" s="176"/>
      <c r="AP498" s="176"/>
      <c r="AQ498" s="176"/>
      <c r="AR498" s="176"/>
      <c r="AS498" s="176"/>
      <c r="AT498" s="176"/>
      <c r="AU498" s="176"/>
      <c r="AV498" s="176"/>
      <c r="AW498" s="176"/>
      <c r="AX498" s="176"/>
      <c r="AY498" s="176"/>
      <c r="AZ498" s="176"/>
      <c r="BA498" s="176"/>
      <c r="BB498" s="176"/>
      <c r="BC498" s="176"/>
      <c r="BD498" s="176"/>
      <c r="BE498" s="176"/>
      <c r="BF498" s="176"/>
      <c r="BG498" s="176"/>
      <c r="BH498" s="551"/>
      <c r="BI498" s="176"/>
      <c r="BJ498" s="176"/>
      <c r="BK498" s="176"/>
      <c r="BL498" s="176"/>
      <c r="BM498" s="176"/>
      <c r="BN498" s="176"/>
      <c r="BO498" s="176"/>
      <c r="BP498" s="176"/>
      <c r="BQ498" s="176"/>
      <c r="BR498" s="176"/>
      <c r="BS498" s="229"/>
    </row>
    <row r="499" spans="1:71" ht="15">
      <c r="A499" s="356" t="str">
        <f>MO_VA_P_ToB</f>
        <v>P/B - EoP</v>
      </c>
      <c r="B499" s="176"/>
      <c r="C499" s="532"/>
      <c r="D499" s="532"/>
      <c r="E499" s="176"/>
      <c r="F499" s="176"/>
      <c r="G499" s="176"/>
      <c r="H499" s="176"/>
      <c r="I499" s="176"/>
      <c r="J499" s="176"/>
      <c r="K499" s="176"/>
      <c r="L499" s="176"/>
      <c r="M499" s="176"/>
      <c r="N499" s="176"/>
      <c r="O499" s="176"/>
      <c r="P499" s="176"/>
      <c r="Q499" s="176"/>
      <c r="R499" s="176"/>
      <c r="S499" s="176"/>
      <c r="T499" s="176"/>
      <c r="U499" s="176"/>
      <c r="V499" s="176"/>
      <c r="W499" s="176"/>
      <c r="X499" s="176"/>
      <c r="Y499" s="176"/>
      <c r="Z499" s="176"/>
      <c r="AA499" s="176"/>
      <c r="AB499" s="176"/>
      <c r="AC499" s="176"/>
      <c r="AD499" s="176"/>
      <c r="AE499" s="176"/>
      <c r="AF499" s="176"/>
      <c r="AG499" s="176"/>
      <c r="AH499" s="176"/>
      <c r="AI499" s="176"/>
      <c r="AJ499" s="176"/>
      <c r="AK499" s="176"/>
      <c r="AL499" s="176"/>
      <c r="AM499" s="176"/>
      <c r="AN499" s="176"/>
      <c r="AO499" s="176"/>
      <c r="AP499" s="176"/>
      <c r="AQ499" s="176"/>
      <c r="AR499" s="176"/>
      <c r="AS499" s="176"/>
      <c r="AT499" s="176"/>
      <c r="AU499" s="176"/>
      <c r="AV499" s="176"/>
      <c r="AW499" s="176"/>
      <c r="AX499" s="176"/>
      <c r="AY499" s="176"/>
      <c r="AZ499" s="176"/>
      <c r="BA499" s="176"/>
      <c r="BB499" s="176"/>
      <c r="BC499" s="176"/>
      <c r="BD499" s="176"/>
      <c r="BE499" s="176"/>
      <c r="BF499" s="176"/>
      <c r="BG499" s="176"/>
      <c r="BH499" s="551"/>
      <c r="BI499" s="176"/>
      <c r="BJ499" s="176"/>
      <c r="BK499" s="176"/>
      <c r="BL499" s="176"/>
      <c r="BM499" s="176"/>
      <c r="BN499" s="176"/>
      <c r="BO499" s="176"/>
      <c r="BP499" s="176"/>
      <c r="BQ499" s="176"/>
      <c r="BR499" s="176"/>
      <c r="BS499" s="229"/>
    </row>
    <row r="500" spans="1:71" ht="15">
      <c r="A500" s="537"/>
      <c r="B500" s="176"/>
      <c r="C500" s="532"/>
      <c r="D500" s="532"/>
      <c r="E500" s="176"/>
      <c r="F500" s="176"/>
      <c r="G500" s="176"/>
      <c r="H500" s="176"/>
      <c r="I500" s="176"/>
      <c r="J500" s="176"/>
      <c r="K500" s="176"/>
      <c r="L500" s="176"/>
      <c r="M500" s="176"/>
      <c r="N500" s="176"/>
      <c r="O500" s="176"/>
      <c r="P500" s="176"/>
      <c r="Q500" s="176"/>
      <c r="R500" s="176"/>
      <c r="S500" s="176"/>
      <c r="T500" s="176"/>
      <c r="U500" s="176"/>
      <c r="V500" s="176"/>
      <c r="W500" s="176"/>
      <c r="X500" s="176"/>
      <c r="Y500" s="176"/>
      <c r="Z500" s="176"/>
      <c r="AA500" s="176"/>
      <c r="AB500" s="176"/>
      <c r="AC500" s="176"/>
      <c r="AD500" s="176"/>
      <c r="AE500" s="176"/>
      <c r="AF500" s="176"/>
      <c r="AG500" s="176"/>
      <c r="AH500" s="176"/>
      <c r="AI500" s="176"/>
      <c r="AJ500" s="176"/>
      <c r="AK500" s="176"/>
      <c r="AL500" s="176"/>
      <c r="AM500" s="176"/>
      <c r="AN500" s="176"/>
      <c r="AO500" s="176"/>
      <c r="AP500" s="176"/>
      <c r="AQ500" s="176"/>
      <c r="AR500" s="176"/>
      <c r="AS500" s="176"/>
      <c r="AT500" s="176"/>
      <c r="AU500" s="176"/>
      <c r="AV500" s="176"/>
      <c r="AW500" s="176"/>
      <c r="AX500" s="176"/>
      <c r="AY500" s="176"/>
      <c r="AZ500" s="176"/>
      <c r="BA500" s="176"/>
      <c r="BB500" s="176"/>
      <c r="BC500" s="176"/>
      <c r="BD500" s="176"/>
      <c r="BE500" s="176"/>
      <c r="BF500" s="176"/>
      <c r="BG500" s="176"/>
      <c r="BH500" s="551"/>
      <c r="BI500" s="176"/>
      <c r="BJ500" s="176"/>
      <c r="BK500" s="176"/>
      <c r="BL500" s="176"/>
      <c r="BM500" s="176"/>
      <c r="BN500" s="176"/>
      <c r="BO500" s="176"/>
      <c r="BP500" s="176"/>
      <c r="BQ500" s="176"/>
      <c r="BR500" s="176"/>
      <c r="BS500" s="229"/>
    </row>
    <row r="501" spans="1:71" ht="15">
      <c r="A501" s="631"/>
      <c r="B501" s="176"/>
      <c r="C501" s="532"/>
      <c r="D501" s="532"/>
      <c r="E501" s="176"/>
      <c r="F501" s="176"/>
      <c r="G501" s="176"/>
      <c r="H501" s="176"/>
      <c r="I501" s="176"/>
      <c r="J501" s="176"/>
      <c r="K501" s="176"/>
      <c r="L501" s="176"/>
      <c r="M501" s="176"/>
      <c r="N501" s="176"/>
      <c r="O501" s="176"/>
      <c r="P501" s="176"/>
      <c r="Q501" s="176"/>
      <c r="R501" s="176"/>
      <c r="S501" s="176"/>
      <c r="T501" s="176"/>
      <c r="U501" s="176"/>
      <c r="V501" s="176"/>
      <c r="W501" s="176"/>
      <c r="X501" s="176"/>
      <c r="Y501" s="176"/>
      <c r="Z501" s="176"/>
      <c r="AA501" s="176"/>
      <c r="AB501" s="176"/>
      <c r="AC501" s="176"/>
      <c r="AD501" s="176"/>
      <c r="AE501" s="176"/>
      <c r="AF501" s="176"/>
      <c r="AG501" s="176"/>
      <c r="AH501" s="176"/>
      <c r="AI501" s="176"/>
      <c r="AJ501" s="176"/>
      <c r="AK501" s="176"/>
      <c r="AL501" s="176"/>
      <c r="AM501" s="176"/>
      <c r="AN501" s="176"/>
      <c r="AO501" s="176"/>
      <c r="AP501" s="176"/>
      <c r="AQ501" s="176"/>
      <c r="AR501" s="176"/>
      <c r="AS501" s="176"/>
      <c r="AT501" s="176"/>
      <c r="AU501" s="176"/>
      <c r="AV501" s="176"/>
      <c r="AW501" s="176"/>
      <c r="AX501" s="176"/>
      <c r="AY501" s="176"/>
      <c r="AZ501" s="176"/>
      <c r="BA501" s="176"/>
      <c r="BB501" s="176"/>
      <c r="BC501" s="176"/>
      <c r="BD501" s="176"/>
      <c r="BE501" s="176"/>
      <c r="BF501" s="176"/>
      <c r="BG501" s="176"/>
      <c r="BH501" s="551"/>
      <c r="BI501" s="176"/>
      <c r="BJ501" s="176"/>
      <c r="BK501" s="176"/>
      <c r="BL501" s="176"/>
      <c r="BM501" s="176"/>
      <c r="BN501" s="176"/>
      <c r="BO501" s="176"/>
      <c r="BP501" s="176"/>
      <c r="BQ501" s="176"/>
      <c r="BR501" s="176"/>
      <c r="BS501" s="229"/>
    </row>
    <row r="502" spans="1:71" ht="15">
      <c r="A502" s="632" t="s">
        <v>449</v>
      </c>
      <c r="B502" s="176"/>
      <c r="C502" s="532"/>
      <c r="D502" s="532"/>
      <c r="E502" s="176"/>
      <c r="F502" s="176"/>
      <c r="G502" s="176"/>
      <c r="H502" s="176"/>
      <c r="I502" s="176"/>
      <c r="J502" s="176"/>
      <c r="K502" s="176"/>
      <c r="L502" s="176"/>
      <c r="M502" s="176"/>
      <c r="N502" s="176"/>
      <c r="O502" s="176"/>
      <c r="P502" s="176"/>
      <c r="Q502" s="176"/>
      <c r="R502" s="176"/>
      <c r="S502" s="176"/>
      <c r="T502" s="176"/>
      <c r="U502" s="176"/>
      <c r="V502" s="176"/>
      <c r="W502" s="176"/>
      <c r="X502" s="176"/>
      <c r="Y502" s="176"/>
      <c r="Z502" s="176"/>
      <c r="AA502" s="176"/>
      <c r="AB502" s="176"/>
      <c r="AC502" s="176"/>
      <c r="AD502" s="176"/>
      <c r="AE502" s="176"/>
      <c r="AF502" s="176"/>
      <c r="AG502" s="176"/>
      <c r="AH502" s="176"/>
      <c r="AI502" s="176"/>
      <c r="AJ502" s="176"/>
      <c r="AK502" s="176"/>
      <c r="AL502" s="176"/>
      <c r="AM502" s="176"/>
      <c r="AN502" s="176"/>
      <c r="AO502" s="176"/>
      <c r="AP502" s="176"/>
      <c r="AQ502" s="176"/>
      <c r="AR502" s="176"/>
      <c r="AS502" s="176"/>
      <c r="AT502" s="176"/>
      <c r="AU502" s="176"/>
      <c r="AV502" s="176"/>
      <c r="AW502" s="176"/>
      <c r="AX502" s="176"/>
      <c r="AY502" s="176"/>
      <c r="AZ502" s="176"/>
      <c r="BA502" s="176"/>
      <c r="BB502" s="176"/>
      <c r="BC502" s="176"/>
      <c r="BD502" s="176"/>
      <c r="BE502" s="176"/>
      <c r="BF502" s="176"/>
      <c r="BG502" s="176"/>
      <c r="BH502" s="551"/>
      <c r="BI502" s="176"/>
      <c r="BJ502" s="176"/>
      <c r="BK502" s="176"/>
      <c r="BL502" s="176"/>
      <c r="BM502" s="176"/>
      <c r="BN502" s="176"/>
      <c r="BO502" s="176"/>
      <c r="BP502" s="176"/>
      <c r="BQ502" s="176"/>
      <c r="BR502" s="176"/>
      <c r="BS502" s="229"/>
    </row>
    <row r="503" spans="1:71" ht="15">
      <c r="A503" s="633" t="s">
        <v>450</v>
      </c>
      <c r="B503" s="176"/>
      <c r="C503" s="532"/>
      <c r="D503" s="532"/>
      <c r="E503" s="176"/>
      <c r="F503" s="176"/>
      <c r="G503" s="176"/>
      <c r="H503" s="176"/>
      <c r="I503" s="176"/>
      <c r="J503" s="176"/>
      <c r="K503" s="176"/>
      <c r="L503" s="176"/>
      <c r="M503" s="176"/>
      <c r="N503" s="176"/>
      <c r="O503" s="176"/>
      <c r="P503" s="176"/>
      <c r="Q503" s="176"/>
      <c r="R503" s="176"/>
      <c r="S503" s="176"/>
      <c r="T503" s="176"/>
      <c r="U503" s="176"/>
      <c r="V503" s="176"/>
      <c r="W503" s="176"/>
      <c r="X503" s="176"/>
      <c r="Y503" s="176"/>
      <c r="Z503" s="176"/>
      <c r="AA503" s="176"/>
      <c r="AB503" s="176"/>
      <c r="AC503" s="176"/>
      <c r="AD503" s="176"/>
      <c r="AE503" s="176"/>
      <c r="AF503" s="176"/>
      <c r="AG503" s="176"/>
      <c r="AH503" s="176"/>
      <c r="AI503" s="176"/>
      <c r="AJ503" s="176"/>
      <c r="AK503" s="176"/>
      <c r="AL503" s="176"/>
      <c r="AM503" s="176"/>
      <c r="AN503" s="176"/>
      <c r="AO503" s="176"/>
      <c r="AP503" s="176"/>
      <c r="AQ503" s="176"/>
      <c r="AR503" s="176"/>
      <c r="AS503" s="176"/>
      <c r="AT503" s="176"/>
      <c r="AU503" s="176"/>
      <c r="AV503" s="176"/>
      <c r="AW503" s="176"/>
      <c r="AX503" s="176"/>
      <c r="AY503" s="176"/>
      <c r="AZ503" s="176"/>
      <c r="BA503" s="176"/>
      <c r="BB503" s="176"/>
      <c r="BC503" s="176"/>
      <c r="BD503" s="176"/>
      <c r="BE503" s="176"/>
      <c r="BF503" s="176"/>
      <c r="BG503" s="176"/>
      <c r="BH503" s="551"/>
      <c r="BI503" s="176"/>
      <c r="BJ503" s="176"/>
      <c r="BK503" s="176"/>
      <c r="BL503" s="176"/>
      <c r="BM503" s="176"/>
      <c r="BN503" s="176"/>
      <c r="BO503" s="176"/>
      <c r="BP503" s="176"/>
      <c r="BQ503" s="176"/>
      <c r="BR503" s="176"/>
      <c r="BS503" s="229"/>
    </row>
    <row r="504" spans="1:71" ht="15">
      <c r="A504" s="633" t="s">
        <v>451</v>
      </c>
      <c r="B504" s="176"/>
      <c r="C504" s="532"/>
      <c r="D504" s="532"/>
      <c r="E504" s="176"/>
      <c r="F504" s="176"/>
      <c r="G504" s="176"/>
      <c r="H504" s="176"/>
      <c r="I504" s="176"/>
      <c r="J504" s="176"/>
      <c r="K504" s="176"/>
      <c r="L504" s="176"/>
      <c r="M504" s="176"/>
      <c r="N504" s="176"/>
      <c r="O504" s="176"/>
      <c r="P504" s="176"/>
      <c r="Q504" s="176"/>
      <c r="R504" s="176"/>
      <c r="S504" s="176"/>
      <c r="T504" s="176"/>
      <c r="U504" s="176"/>
      <c r="V504" s="176"/>
      <c r="W504" s="176"/>
      <c r="X504" s="176"/>
      <c r="Y504" s="176"/>
      <c r="Z504" s="176"/>
      <c r="AA504" s="176"/>
      <c r="AB504" s="176"/>
      <c r="AC504" s="176"/>
      <c r="AD504" s="176"/>
      <c r="AE504" s="176"/>
      <c r="AF504" s="176"/>
      <c r="AG504" s="176"/>
      <c r="AH504" s="176"/>
      <c r="AI504" s="176"/>
      <c r="AJ504" s="176"/>
      <c r="AK504" s="176"/>
      <c r="AL504" s="176"/>
      <c r="AM504" s="176"/>
      <c r="AN504" s="176"/>
      <c r="AO504" s="176"/>
      <c r="AP504" s="176"/>
      <c r="AQ504" s="176"/>
      <c r="AR504" s="176"/>
      <c r="AS504" s="176"/>
      <c r="AT504" s="176"/>
      <c r="AU504" s="176"/>
      <c r="AV504" s="176"/>
      <c r="AW504" s="176"/>
      <c r="AX504" s="176"/>
      <c r="AY504" s="176"/>
      <c r="AZ504" s="176"/>
      <c r="BA504" s="176"/>
      <c r="BB504" s="176"/>
      <c r="BC504" s="176"/>
      <c r="BD504" s="176"/>
      <c r="BE504" s="176"/>
      <c r="BF504" s="176"/>
      <c r="BG504" s="176"/>
      <c r="BH504" s="551"/>
      <c r="BI504" s="176"/>
      <c r="BJ504" s="176"/>
      <c r="BK504" s="176"/>
      <c r="BL504" s="176"/>
      <c r="BM504" s="176"/>
      <c r="BN504" s="176"/>
      <c r="BO504" s="176"/>
      <c r="BP504" s="176"/>
      <c r="BQ504" s="176"/>
      <c r="BR504" s="176"/>
      <c r="BS504" s="229"/>
    </row>
    <row r="505" spans="1:71" ht="15">
      <c r="A505" s="633" t="s">
        <v>248</v>
      </c>
      <c r="B505" s="176"/>
      <c r="C505" s="532"/>
      <c r="D505" s="532"/>
      <c r="E505" s="176"/>
      <c r="F505" s="176"/>
      <c r="G505" s="176"/>
      <c r="H505" s="176"/>
      <c r="I505" s="176"/>
      <c r="J505" s="176"/>
      <c r="K505" s="176"/>
      <c r="L505" s="176"/>
      <c r="M505" s="176"/>
      <c r="N505" s="176"/>
      <c r="O505" s="176"/>
      <c r="P505" s="176"/>
      <c r="Q505" s="176"/>
      <c r="R505" s="176"/>
      <c r="S505" s="176"/>
      <c r="T505" s="176"/>
      <c r="U505" s="176"/>
      <c r="V505" s="176"/>
      <c r="W505" s="176"/>
      <c r="X505" s="176"/>
      <c r="Y505" s="176"/>
      <c r="Z505" s="176"/>
      <c r="AA505" s="176"/>
      <c r="AB505" s="176"/>
      <c r="AC505" s="176"/>
      <c r="AD505" s="176"/>
      <c r="AE505" s="176"/>
      <c r="AF505" s="176"/>
      <c r="AG505" s="176"/>
      <c r="AH505" s="176"/>
      <c r="AI505" s="176"/>
      <c r="AJ505" s="176"/>
      <c r="AK505" s="176"/>
      <c r="AL505" s="176"/>
      <c r="AM505" s="176"/>
      <c r="AN505" s="176"/>
      <c r="AO505" s="176"/>
      <c r="AP505" s="176"/>
      <c r="AQ505" s="176"/>
      <c r="AR505" s="176"/>
      <c r="AS505" s="176"/>
      <c r="AT505" s="176"/>
      <c r="AU505" s="176"/>
      <c r="AV505" s="176"/>
      <c r="AW505" s="176"/>
      <c r="AX505" s="176"/>
      <c r="AY505" s="176"/>
      <c r="AZ505" s="176"/>
      <c r="BA505" s="176"/>
      <c r="BB505" s="176"/>
      <c r="BC505" s="176"/>
      <c r="BD505" s="176"/>
      <c r="BE505" s="176"/>
      <c r="BF505" s="176"/>
      <c r="BG505" s="176"/>
      <c r="BH505" s="551"/>
      <c r="BI505" s="176"/>
      <c r="BJ505" s="176"/>
      <c r="BK505" s="176"/>
      <c r="BL505" s="176"/>
      <c r="BM505" s="176"/>
      <c r="BN505" s="176"/>
      <c r="BO505" s="176"/>
      <c r="BP505" s="176"/>
      <c r="BQ505" s="176"/>
      <c r="BR505" s="176"/>
      <c r="BS505" s="229"/>
    </row>
    <row r="506" spans="1:71" ht="15">
      <c r="A506" s="633" t="s">
        <v>452</v>
      </c>
      <c r="B506" s="176"/>
      <c r="C506" s="532"/>
      <c r="D506" s="532"/>
      <c r="E506" s="176"/>
      <c r="F506" s="176"/>
      <c r="G506" s="176"/>
      <c r="H506" s="176"/>
      <c r="I506" s="176"/>
      <c r="J506" s="176"/>
      <c r="K506" s="176"/>
      <c r="L506" s="176"/>
      <c r="M506" s="176"/>
      <c r="N506" s="176"/>
      <c r="O506" s="176"/>
      <c r="P506" s="176"/>
      <c r="Q506" s="176"/>
      <c r="R506" s="176"/>
      <c r="S506" s="176"/>
      <c r="T506" s="176"/>
      <c r="U506" s="176"/>
      <c r="V506" s="176"/>
      <c r="W506" s="176"/>
      <c r="X506" s="176"/>
      <c r="Y506" s="176"/>
      <c r="Z506" s="176"/>
      <c r="AA506" s="176"/>
      <c r="AB506" s="176"/>
      <c r="AC506" s="176"/>
      <c r="AD506" s="176"/>
      <c r="AE506" s="176"/>
      <c r="AF506" s="176"/>
      <c r="AG506" s="176"/>
      <c r="AH506" s="176"/>
      <c r="AI506" s="176"/>
      <c r="AJ506" s="176"/>
      <c r="AK506" s="176"/>
      <c r="AL506" s="176"/>
      <c r="AM506" s="176"/>
      <c r="AN506" s="176"/>
      <c r="AO506" s="176"/>
      <c r="AP506" s="176"/>
      <c r="AQ506" s="176"/>
      <c r="AR506" s="176"/>
      <c r="AS506" s="176"/>
      <c r="AT506" s="176"/>
      <c r="AU506" s="176"/>
      <c r="AV506" s="176"/>
      <c r="AW506" s="176"/>
      <c r="AX506" s="176"/>
      <c r="AY506" s="176"/>
      <c r="AZ506" s="176"/>
      <c r="BA506" s="176"/>
      <c r="BB506" s="176"/>
      <c r="BC506" s="176"/>
      <c r="BD506" s="176"/>
      <c r="BE506" s="176"/>
      <c r="BF506" s="176"/>
      <c r="BG506" s="176"/>
      <c r="BH506" s="551"/>
      <c r="BI506" s="176"/>
      <c r="BJ506" s="176"/>
      <c r="BK506" s="176"/>
      <c r="BL506" s="176"/>
      <c r="BM506" s="176"/>
      <c r="BN506" s="176"/>
      <c r="BO506" s="176"/>
      <c r="BP506" s="176"/>
      <c r="BQ506" s="176"/>
      <c r="BR506" s="176"/>
      <c r="BS506" s="229"/>
    </row>
    <row r="507" spans="1:71" ht="15">
      <c r="A507" s="633" t="s">
        <v>482</v>
      </c>
      <c r="B507" s="176"/>
      <c r="C507" s="532"/>
      <c r="D507" s="532"/>
      <c r="E507" s="176"/>
      <c r="F507" s="176"/>
      <c r="G507" s="176"/>
      <c r="H507" s="176"/>
      <c r="I507" s="176"/>
      <c r="J507" s="176"/>
      <c r="K507" s="176"/>
      <c r="L507" s="176"/>
      <c r="M507" s="176"/>
      <c r="N507" s="176"/>
      <c r="O507" s="176"/>
      <c r="P507" s="176"/>
      <c r="Q507" s="176"/>
      <c r="R507" s="176"/>
      <c r="S507" s="176"/>
      <c r="T507" s="176"/>
      <c r="U507" s="176"/>
      <c r="V507" s="176"/>
      <c r="W507" s="176"/>
      <c r="X507" s="176"/>
      <c r="Y507" s="176"/>
      <c r="Z507" s="176"/>
      <c r="AA507" s="176"/>
      <c r="AB507" s="176"/>
      <c r="AC507" s="176"/>
      <c r="AD507" s="176"/>
      <c r="AE507" s="176"/>
      <c r="AF507" s="176"/>
      <c r="AG507" s="176"/>
      <c r="AH507" s="176"/>
      <c r="AI507" s="176"/>
      <c r="AJ507" s="176"/>
      <c r="AK507" s="176"/>
      <c r="AL507" s="176"/>
      <c r="AM507" s="176"/>
      <c r="AN507" s="176"/>
      <c r="AO507" s="176"/>
      <c r="AP507" s="176"/>
      <c r="AQ507" s="176"/>
      <c r="AR507" s="176"/>
      <c r="AS507" s="176"/>
      <c r="AT507" s="176"/>
      <c r="AU507" s="176"/>
      <c r="AV507" s="176"/>
      <c r="AW507" s="176"/>
      <c r="AX507" s="176"/>
      <c r="AY507" s="176"/>
      <c r="AZ507" s="176"/>
      <c r="BA507" s="176"/>
      <c r="BB507" s="176"/>
      <c r="BC507" s="176"/>
      <c r="BD507" s="176"/>
      <c r="BE507" s="176"/>
      <c r="BF507" s="176"/>
      <c r="BG507" s="176"/>
      <c r="BH507" s="551"/>
      <c r="BI507" s="176"/>
      <c r="BJ507" s="176"/>
      <c r="BK507" s="176"/>
      <c r="BL507" s="176"/>
      <c r="BM507" s="176"/>
      <c r="BN507" s="176"/>
      <c r="BO507" s="176"/>
      <c r="BP507" s="176"/>
      <c r="BQ507" s="176"/>
      <c r="BR507" s="176"/>
      <c r="BS507" s="229"/>
    </row>
    <row r="508" spans="1:71" ht="15">
      <c r="A508" s="633" t="s">
        <v>483</v>
      </c>
      <c r="B508" s="176"/>
      <c r="C508" s="532"/>
      <c r="D508" s="532"/>
      <c r="E508" s="176"/>
      <c r="F508" s="176"/>
      <c r="G508" s="176"/>
      <c r="H508" s="176"/>
      <c r="I508" s="176"/>
      <c r="J508" s="176"/>
      <c r="K508" s="176"/>
      <c r="L508" s="176"/>
      <c r="M508" s="176"/>
      <c r="N508" s="176"/>
      <c r="O508" s="176"/>
      <c r="P508" s="176"/>
      <c r="Q508" s="176"/>
      <c r="R508" s="176"/>
      <c r="S508" s="176"/>
      <c r="T508" s="176"/>
      <c r="U508" s="176"/>
      <c r="V508" s="176"/>
      <c r="W508" s="176"/>
      <c r="X508" s="176"/>
      <c r="Y508" s="176"/>
      <c r="Z508" s="176"/>
      <c r="AA508" s="176"/>
      <c r="AB508" s="176"/>
      <c r="AC508" s="176"/>
      <c r="AD508" s="176"/>
      <c r="AE508" s="176"/>
      <c r="AF508" s="176"/>
      <c r="AG508" s="176"/>
      <c r="AH508" s="176"/>
      <c r="AI508" s="176"/>
      <c r="AJ508" s="176"/>
      <c r="AK508" s="176"/>
      <c r="AL508" s="176"/>
      <c r="AM508" s="176"/>
      <c r="AN508" s="176"/>
      <c r="AO508" s="176"/>
      <c r="AP508" s="176"/>
      <c r="AQ508" s="176"/>
      <c r="AR508" s="176"/>
      <c r="AS508" s="176"/>
      <c r="AT508" s="176"/>
      <c r="AU508" s="176"/>
      <c r="AV508" s="176"/>
      <c r="AW508" s="176"/>
      <c r="AX508" s="176"/>
      <c r="AY508" s="176"/>
      <c r="AZ508" s="176"/>
      <c r="BA508" s="176"/>
      <c r="BB508" s="176"/>
      <c r="BC508" s="176"/>
      <c r="BD508" s="176"/>
      <c r="BE508" s="176"/>
      <c r="BF508" s="176"/>
      <c r="BG508" s="176"/>
      <c r="BH508" s="551"/>
      <c r="BI508" s="176"/>
      <c r="BJ508" s="176"/>
      <c r="BK508" s="176"/>
      <c r="BL508" s="176"/>
      <c r="BM508" s="176"/>
      <c r="BN508" s="176"/>
      <c r="BO508" s="176"/>
      <c r="BP508" s="176"/>
      <c r="BQ508" s="176"/>
      <c r="BR508" s="176"/>
      <c r="BS508" s="229"/>
    </row>
    <row r="509" spans="1:71" ht="15">
      <c r="A509" s="633" t="s">
        <v>484</v>
      </c>
      <c r="B509" s="176"/>
      <c r="C509" s="532"/>
      <c r="D509" s="532"/>
      <c r="E509" s="176"/>
      <c r="F509" s="176"/>
      <c r="G509" s="176"/>
      <c r="H509" s="176"/>
      <c r="I509" s="176"/>
      <c r="J509" s="176"/>
      <c r="K509" s="176"/>
      <c r="L509" s="176"/>
      <c r="M509" s="176"/>
      <c r="N509" s="176"/>
      <c r="O509" s="176"/>
      <c r="P509" s="176"/>
      <c r="Q509" s="176"/>
      <c r="R509" s="176"/>
      <c r="S509" s="176"/>
      <c r="T509" s="176"/>
      <c r="U509" s="176"/>
      <c r="V509" s="176"/>
      <c r="W509" s="176"/>
      <c r="X509" s="176"/>
      <c r="Y509" s="176"/>
      <c r="Z509" s="176"/>
      <c r="AA509" s="176"/>
      <c r="AB509" s="176"/>
      <c r="AC509" s="176"/>
      <c r="AD509" s="176"/>
      <c r="AE509" s="176"/>
      <c r="AF509" s="176"/>
      <c r="AG509" s="176"/>
      <c r="AH509" s="176"/>
      <c r="AI509" s="176"/>
      <c r="AJ509" s="176"/>
      <c r="AK509" s="176"/>
      <c r="AL509" s="176"/>
      <c r="AM509" s="176"/>
      <c r="AN509" s="176"/>
      <c r="AO509" s="176"/>
      <c r="AP509" s="176"/>
      <c r="AQ509" s="176"/>
      <c r="AR509" s="176"/>
      <c r="AS509" s="176"/>
      <c r="AT509" s="176"/>
      <c r="AU509" s="176"/>
      <c r="AV509" s="176"/>
      <c r="AW509" s="176"/>
      <c r="AX509" s="176"/>
      <c r="AY509" s="176"/>
      <c r="AZ509" s="176"/>
      <c r="BA509" s="176"/>
      <c r="BB509" s="176"/>
      <c r="BC509" s="176"/>
      <c r="BD509" s="176"/>
      <c r="BE509" s="176"/>
      <c r="BF509" s="176"/>
      <c r="BG509" s="176"/>
      <c r="BH509" s="551"/>
      <c r="BI509" s="176"/>
      <c r="BJ509" s="176"/>
      <c r="BK509" s="176"/>
      <c r="BL509" s="176"/>
      <c r="BM509" s="176"/>
      <c r="BN509" s="176"/>
      <c r="BO509" s="176"/>
      <c r="BP509" s="176"/>
      <c r="BQ509" s="176"/>
      <c r="BR509" s="176"/>
      <c r="BS509" s="229"/>
    </row>
    <row r="510" spans="1:71" ht="15">
      <c r="A510" s="633" t="s">
        <v>485</v>
      </c>
      <c r="B510" s="176"/>
      <c r="C510" s="532"/>
      <c r="D510" s="532"/>
      <c r="E510" s="176"/>
      <c r="F510" s="176"/>
      <c r="G510" s="176"/>
      <c r="H510" s="176"/>
      <c r="I510" s="176"/>
      <c r="J510" s="176"/>
      <c r="K510" s="176"/>
      <c r="L510" s="176"/>
      <c r="M510" s="176"/>
      <c r="N510" s="176"/>
      <c r="O510" s="176"/>
      <c r="P510" s="176"/>
      <c r="Q510" s="176"/>
      <c r="R510" s="176"/>
      <c r="S510" s="176"/>
      <c r="T510" s="176"/>
      <c r="U510" s="176"/>
      <c r="V510" s="176"/>
      <c r="W510" s="176"/>
      <c r="X510" s="176"/>
      <c r="Y510" s="176"/>
      <c r="Z510" s="176"/>
      <c r="AA510" s="176"/>
      <c r="AB510" s="176"/>
      <c r="AC510" s="176"/>
      <c r="AD510" s="176"/>
      <c r="AE510" s="176"/>
      <c r="AF510" s="176"/>
      <c r="AG510" s="176"/>
      <c r="AH510" s="176"/>
      <c r="AI510" s="176"/>
      <c r="AJ510" s="176"/>
      <c r="AK510" s="176"/>
      <c r="AL510" s="176"/>
      <c r="AM510" s="176"/>
      <c r="AN510" s="176"/>
      <c r="AO510" s="176"/>
      <c r="AP510" s="176"/>
      <c r="AQ510" s="176"/>
      <c r="AR510" s="176"/>
      <c r="AS510" s="176"/>
      <c r="AT510" s="176"/>
      <c r="AU510" s="176"/>
      <c r="AV510" s="176"/>
      <c r="AW510" s="176"/>
      <c r="AX510" s="176"/>
      <c r="AY510" s="176"/>
      <c r="AZ510" s="176"/>
      <c r="BA510" s="176"/>
      <c r="BB510" s="176"/>
      <c r="BC510" s="176"/>
      <c r="BD510" s="176"/>
      <c r="BE510" s="176"/>
      <c r="BF510" s="176"/>
      <c r="BG510" s="176"/>
      <c r="BH510" s="551"/>
      <c r="BI510" s="176"/>
      <c r="BJ510" s="176"/>
      <c r="BK510" s="176"/>
      <c r="BL510" s="176"/>
      <c r="BM510" s="176"/>
      <c r="BN510" s="176"/>
      <c r="BO510" s="176"/>
      <c r="BP510" s="176"/>
      <c r="BQ510" s="176"/>
      <c r="BR510" s="176"/>
      <c r="BS510" s="229"/>
    </row>
    <row r="511" spans="1:71" ht="15">
      <c r="A511" s="633" t="s">
        <v>486</v>
      </c>
      <c r="B511" s="176"/>
      <c r="C511" s="532"/>
      <c r="D511" s="532"/>
      <c r="E511" s="176"/>
      <c r="F511" s="176"/>
      <c r="G511" s="176"/>
      <c r="H511" s="176"/>
      <c r="I511" s="176"/>
      <c r="J511" s="176"/>
      <c r="K511" s="176"/>
      <c r="L511" s="176"/>
      <c r="M511" s="176"/>
      <c r="N511" s="176"/>
      <c r="O511" s="176"/>
      <c r="P511" s="176"/>
      <c r="Q511" s="176"/>
      <c r="R511" s="176"/>
      <c r="S511" s="176"/>
      <c r="T511" s="176"/>
      <c r="U511" s="176"/>
      <c r="V511" s="176"/>
      <c r="W511" s="176"/>
      <c r="X511" s="176"/>
      <c r="Y511" s="176"/>
      <c r="Z511" s="176"/>
      <c r="AA511" s="176"/>
      <c r="AB511" s="176"/>
      <c r="AC511" s="176"/>
      <c r="AD511" s="176"/>
      <c r="AE511" s="176"/>
      <c r="AF511" s="176"/>
      <c r="AG511" s="176"/>
      <c r="AH511" s="176"/>
      <c r="AI511" s="176"/>
      <c r="AJ511" s="176"/>
      <c r="AK511" s="176"/>
      <c r="AL511" s="176"/>
      <c r="AM511" s="176"/>
      <c r="AN511" s="176"/>
      <c r="AO511" s="176"/>
      <c r="AP511" s="176"/>
      <c r="AQ511" s="176"/>
      <c r="AR511" s="176"/>
      <c r="AS511" s="176"/>
      <c r="AT511" s="176"/>
      <c r="AU511" s="176"/>
      <c r="AV511" s="176"/>
      <c r="AW511" s="176"/>
      <c r="AX511" s="176"/>
      <c r="AY511" s="176"/>
      <c r="AZ511" s="176"/>
      <c r="BA511" s="176"/>
      <c r="BB511" s="176"/>
      <c r="BC511" s="176"/>
      <c r="BD511" s="176"/>
      <c r="BE511" s="176"/>
      <c r="BF511" s="176"/>
      <c r="BG511" s="176"/>
      <c r="BH511" s="551"/>
      <c r="BI511" s="176"/>
      <c r="BJ511" s="176"/>
      <c r="BK511" s="176"/>
      <c r="BL511" s="176"/>
      <c r="BM511" s="176"/>
      <c r="BN511" s="176"/>
      <c r="BO511" s="176"/>
      <c r="BP511" s="176"/>
      <c r="BQ511" s="176"/>
      <c r="BR511" s="176"/>
      <c r="BS511" s="229"/>
    </row>
    <row r="512" spans="1:71" ht="15">
      <c r="A512" s="633" t="s">
        <v>487</v>
      </c>
      <c r="B512" s="176"/>
      <c r="C512" s="532"/>
      <c r="D512" s="532"/>
      <c r="E512" s="176"/>
      <c r="F512" s="176"/>
      <c r="G512" s="176"/>
      <c r="H512" s="176"/>
      <c r="I512" s="176"/>
      <c r="J512" s="176"/>
      <c r="K512" s="176"/>
      <c r="L512" s="176"/>
      <c r="M512" s="176"/>
      <c r="N512" s="176"/>
      <c r="O512" s="176"/>
      <c r="P512" s="176"/>
      <c r="Q512" s="176"/>
      <c r="R512" s="176"/>
      <c r="S512" s="176"/>
      <c r="T512" s="176"/>
      <c r="U512" s="176"/>
      <c r="V512" s="176"/>
      <c r="W512" s="176"/>
      <c r="X512" s="176"/>
      <c r="Y512" s="176"/>
      <c r="Z512" s="176"/>
      <c r="AA512" s="176"/>
      <c r="AB512" s="176"/>
      <c r="AC512" s="176"/>
      <c r="AD512" s="176"/>
      <c r="AE512" s="176"/>
      <c r="AF512" s="176"/>
      <c r="AG512" s="176"/>
      <c r="AH512" s="176"/>
      <c r="AI512" s="176"/>
      <c r="AJ512" s="176"/>
      <c r="AK512" s="176"/>
      <c r="AL512" s="176"/>
      <c r="AM512" s="176"/>
      <c r="AN512" s="176"/>
      <c r="AO512" s="176"/>
      <c r="AP512" s="176"/>
      <c r="AQ512" s="176"/>
      <c r="AR512" s="176"/>
      <c r="AS512" s="176"/>
      <c r="AT512" s="176"/>
      <c r="AU512" s="176"/>
      <c r="AV512" s="176"/>
      <c r="AW512" s="176"/>
      <c r="AX512" s="176"/>
      <c r="AY512" s="176"/>
      <c r="AZ512" s="176"/>
      <c r="BA512" s="176"/>
      <c r="BB512" s="176"/>
      <c r="BC512" s="176"/>
      <c r="BD512" s="176"/>
      <c r="BE512" s="176"/>
      <c r="BF512" s="176"/>
      <c r="BG512" s="176"/>
      <c r="BH512" s="551"/>
      <c r="BI512" s="176"/>
      <c r="BJ512" s="176"/>
      <c r="BK512" s="176"/>
      <c r="BL512" s="176"/>
      <c r="BM512" s="176"/>
      <c r="BN512" s="176"/>
      <c r="BO512" s="176"/>
      <c r="BP512" s="176"/>
      <c r="BQ512" s="176"/>
      <c r="BR512" s="176"/>
      <c r="BS512" s="229"/>
    </row>
    <row r="513" spans="1:71" ht="15">
      <c r="A513" s="633" t="s">
        <v>488</v>
      </c>
      <c r="B513" s="176"/>
      <c r="C513" s="532"/>
      <c r="D513" s="532"/>
      <c r="E513" s="176"/>
      <c r="F513" s="176"/>
      <c r="G513" s="176"/>
      <c r="H513" s="176"/>
      <c r="I513" s="176"/>
      <c r="J513" s="176"/>
      <c r="K513" s="176"/>
      <c r="L513" s="176"/>
      <c r="M513" s="176"/>
      <c r="N513" s="176"/>
      <c r="O513" s="176"/>
      <c r="P513" s="176"/>
      <c r="Q513" s="176"/>
      <c r="R513" s="176"/>
      <c r="S513" s="176"/>
      <c r="T513" s="176"/>
      <c r="U513" s="176"/>
      <c r="V513" s="176"/>
      <c r="W513" s="176"/>
      <c r="X513" s="176"/>
      <c r="Y513" s="176"/>
      <c r="Z513" s="176"/>
      <c r="AA513" s="176"/>
      <c r="AB513" s="176"/>
      <c r="AC513" s="176"/>
      <c r="AD513" s="176"/>
      <c r="AE513" s="176"/>
      <c r="AF513" s="176"/>
      <c r="AG513" s="176"/>
      <c r="AH513" s="176"/>
      <c r="AI513" s="176"/>
      <c r="AJ513" s="176"/>
      <c r="AK513" s="176"/>
      <c r="AL513" s="176"/>
      <c r="AM513" s="176"/>
      <c r="AN513" s="176"/>
      <c r="AO513" s="176"/>
      <c r="AP513" s="176"/>
      <c r="AQ513" s="176"/>
      <c r="AR513" s="176"/>
      <c r="AS513" s="176"/>
      <c r="AT513" s="176"/>
      <c r="AU513" s="176"/>
      <c r="AV513" s="176"/>
      <c r="AW513" s="176"/>
      <c r="AX513" s="176"/>
      <c r="AY513" s="176"/>
      <c r="AZ513" s="176"/>
      <c r="BA513" s="176"/>
      <c r="BB513" s="176"/>
      <c r="BC513" s="176"/>
      <c r="BD513" s="176"/>
      <c r="BE513" s="176"/>
      <c r="BF513" s="176"/>
      <c r="BG513" s="176"/>
      <c r="BH513" s="551"/>
      <c r="BI513" s="176"/>
      <c r="BJ513" s="176"/>
      <c r="BK513" s="176"/>
      <c r="BL513" s="176"/>
      <c r="BM513" s="176"/>
      <c r="BN513" s="176"/>
      <c r="BO513" s="176"/>
      <c r="BP513" s="176"/>
      <c r="BQ513" s="176"/>
      <c r="BR513" s="176"/>
      <c r="BS513" s="229"/>
    </row>
    <row r="514" spans="1:71" ht="15">
      <c r="A514" s="633" t="s">
        <v>489</v>
      </c>
      <c r="B514" s="176"/>
      <c r="C514" s="532"/>
      <c r="D514" s="532"/>
      <c r="E514" s="176"/>
      <c r="F514" s="176"/>
      <c r="G514" s="176"/>
      <c r="H514" s="176"/>
      <c r="I514" s="176"/>
      <c r="J514" s="176"/>
      <c r="K514" s="176"/>
      <c r="L514" s="176"/>
      <c r="M514" s="176"/>
      <c r="N514" s="176"/>
      <c r="O514" s="176"/>
      <c r="P514" s="176"/>
      <c r="Q514" s="176"/>
      <c r="R514" s="176"/>
      <c r="S514" s="176"/>
      <c r="T514" s="176"/>
      <c r="U514" s="176"/>
      <c r="V514" s="176"/>
      <c r="W514" s="176"/>
      <c r="X514" s="176"/>
      <c r="Y514" s="176"/>
      <c r="Z514" s="176"/>
      <c r="AA514" s="176"/>
      <c r="AB514" s="176"/>
      <c r="AC514" s="176"/>
      <c r="AD514" s="176"/>
      <c r="AE514" s="176"/>
      <c r="AF514" s="176"/>
      <c r="AG514" s="176"/>
      <c r="AH514" s="176"/>
      <c r="AI514" s="176"/>
      <c r="AJ514" s="176"/>
      <c r="AK514" s="176"/>
      <c r="AL514" s="176"/>
      <c r="AM514" s="176"/>
      <c r="AN514" s="176"/>
      <c r="AO514" s="176"/>
      <c r="AP514" s="176"/>
      <c r="AQ514" s="176"/>
      <c r="AR514" s="176"/>
      <c r="AS514" s="176"/>
      <c r="AT514" s="176"/>
      <c r="AU514" s="176"/>
      <c r="AV514" s="176"/>
      <c r="AW514" s="176"/>
      <c r="AX514" s="176"/>
      <c r="AY514" s="176"/>
      <c r="AZ514" s="176"/>
      <c r="BA514" s="176"/>
      <c r="BB514" s="176"/>
      <c r="BC514" s="176"/>
      <c r="BD514" s="176"/>
      <c r="BE514" s="176"/>
      <c r="BF514" s="176"/>
      <c r="BG514" s="176"/>
      <c r="BH514" s="551"/>
      <c r="BI514" s="176"/>
      <c r="BJ514" s="176"/>
      <c r="BK514" s="176"/>
      <c r="BL514" s="176"/>
      <c r="BM514" s="176"/>
      <c r="BN514" s="176"/>
      <c r="BO514" s="176"/>
      <c r="BP514" s="176"/>
      <c r="BQ514" s="176"/>
      <c r="BR514" s="176"/>
      <c r="BS514" s="229"/>
    </row>
    <row r="515" spans="1:71" ht="15">
      <c r="A515" s="633" t="s">
        <v>490</v>
      </c>
      <c r="B515" s="176"/>
      <c r="C515" s="532"/>
      <c r="D515" s="532"/>
      <c r="E515" s="176"/>
      <c r="F515" s="176"/>
      <c r="G515" s="176"/>
      <c r="H515" s="176"/>
      <c r="I515" s="176"/>
      <c r="J515" s="176"/>
      <c r="K515" s="176"/>
      <c r="L515" s="176"/>
      <c r="M515" s="176"/>
      <c r="N515" s="176"/>
      <c r="O515" s="176"/>
      <c r="P515" s="176"/>
      <c r="Q515" s="176"/>
      <c r="R515" s="176"/>
      <c r="S515" s="176"/>
      <c r="T515" s="176"/>
      <c r="U515" s="176"/>
      <c r="V515" s="176"/>
      <c r="W515" s="176"/>
      <c r="X515" s="176"/>
      <c r="Y515" s="176"/>
      <c r="Z515" s="176"/>
      <c r="AA515" s="176"/>
      <c r="AB515" s="176"/>
      <c r="AC515" s="176"/>
      <c r="AD515" s="176"/>
      <c r="AE515" s="176"/>
      <c r="AF515" s="176"/>
      <c r="AG515" s="176"/>
      <c r="AH515" s="176"/>
      <c r="AI515" s="176"/>
      <c r="AJ515" s="176"/>
      <c r="AK515" s="176"/>
      <c r="AL515" s="176"/>
      <c r="AM515" s="176"/>
      <c r="AN515" s="176"/>
      <c r="AO515" s="176"/>
      <c r="AP515" s="176"/>
      <c r="AQ515" s="176"/>
      <c r="AR515" s="176"/>
      <c r="AS515" s="176"/>
      <c r="AT515" s="176"/>
      <c r="AU515" s="176"/>
      <c r="AV515" s="176"/>
      <c r="AW515" s="176"/>
      <c r="AX515" s="176"/>
      <c r="AY515" s="176"/>
      <c r="AZ515" s="176"/>
      <c r="BA515" s="176"/>
      <c r="BB515" s="176"/>
      <c r="BC515" s="176"/>
      <c r="BD515" s="176"/>
      <c r="BE515" s="176"/>
      <c r="BF515" s="176"/>
      <c r="BG515" s="176"/>
      <c r="BH515" s="551"/>
      <c r="BI515" s="176"/>
      <c r="BJ515" s="176"/>
      <c r="BK515" s="176"/>
      <c r="BL515" s="176"/>
      <c r="BM515" s="176"/>
      <c r="BN515" s="176"/>
      <c r="BO515" s="176"/>
      <c r="BP515" s="176"/>
      <c r="BQ515" s="176"/>
      <c r="BR515" s="176"/>
      <c r="BS515" s="229"/>
    </row>
    <row r="516" spans="1:71" ht="15">
      <c r="A516" s="633" t="s">
        <v>491</v>
      </c>
      <c r="B516" s="176"/>
      <c r="C516" s="532"/>
      <c r="D516" s="532"/>
      <c r="E516" s="176"/>
      <c r="F516" s="176"/>
      <c r="G516" s="176"/>
      <c r="H516" s="176"/>
      <c r="I516" s="176"/>
      <c r="J516" s="176"/>
      <c r="K516" s="176"/>
      <c r="L516" s="176"/>
      <c r="M516" s="176"/>
      <c r="N516" s="176"/>
      <c r="O516" s="176"/>
      <c r="P516" s="176"/>
      <c r="Q516" s="176"/>
      <c r="R516" s="176"/>
      <c r="S516" s="176"/>
      <c r="T516" s="176"/>
      <c r="U516" s="176"/>
      <c r="V516" s="176"/>
      <c r="W516" s="176"/>
      <c r="X516" s="176"/>
      <c r="Y516" s="176"/>
      <c r="Z516" s="176"/>
      <c r="AA516" s="176"/>
      <c r="AB516" s="176"/>
      <c r="AC516" s="176"/>
      <c r="AD516" s="176"/>
      <c r="AE516" s="176"/>
      <c r="AF516" s="176"/>
      <c r="AG516" s="176"/>
      <c r="AH516" s="176"/>
      <c r="AI516" s="176"/>
      <c r="AJ516" s="176"/>
      <c r="AK516" s="176"/>
      <c r="AL516" s="176"/>
      <c r="AM516" s="176"/>
      <c r="AN516" s="176"/>
      <c r="AO516" s="176"/>
      <c r="AP516" s="176"/>
      <c r="AQ516" s="176"/>
      <c r="AR516" s="176"/>
      <c r="AS516" s="176"/>
      <c r="AT516" s="176"/>
      <c r="AU516" s="176"/>
      <c r="AV516" s="176"/>
      <c r="AW516" s="176"/>
      <c r="AX516" s="176"/>
      <c r="AY516" s="176"/>
      <c r="AZ516" s="176"/>
      <c r="BA516" s="176"/>
      <c r="BB516" s="176"/>
      <c r="BC516" s="176"/>
      <c r="BD516" s="176"/>
      <c r="BE516" s="176"/>
      <c r="BF516" s="176"/>
      <c r="BG516" s="176"/>
      <c r="BH516" s="551"/>
      <c r="BI516" s="176"/>
      <c r="BJ516" s="176"/>
      <c r="BK516" s="176"/>
      <c r="BL516" s="176"/>
      <c r="BM516" s="176"/>
      <c r="BN516" s="176"/>
      <c r="BO516" s="176"/>
      <c r="BP516" s="176"/>
      <c r="BQ516" s="176"/>
      <c r="BR516" s="176"/>
      <c r="BS516" s="229"/>
    </row>
    <row r="517" spans="1:71" ht="15">
      <c r="A517" s="633" t="s">
        <v>492</v>
      </c>
      <c r="B517" s="176"/>
      <c r="C517" s="532"/>
      <c r="D517" s="532"/>
      <c r="E517" s="176"/>
      <c r="F517" s="176"/>
      <c r="G517" s="176"/>
      <c r="H517" s="176"/>
      <c r="I517" s="176"/>
      <c r="J517" s="176"/>
      <c r="K517" s="176"/>
      <c r="L517" s="176"/>
      <c r="M517" s="176"/>
      <c r="N517" s="176"/>
      <c r="O517" s="176"/>
      <c r="P517" s="176"/>
      <c r="Q517" s="176"/>
      <c r="R517" s="176"/>
      <c r="S517" s="176"/>
      <c r="T517" s="176"/>
      <c r="U517" s="176"/>
      <c r="V517" s="176"/>
      <c r="W517" s="176"/>
      <c r="X517" s="176"/>
      <c r="Y517" s="176"/>
      <c r="Z517" s="176"/>
      <c r="AA517" s="176"/>
      <c r="AB517" s="176"/>
      <c r="AC517" s="176"/>
      <c r="AD517" s="176"/>
      <c r="AE517" s="176"/>
      <c r="AF517" s="176"/>
      <c r="AG517" s="176"/>
      <c r="AH517" s="176"/>
      <c r="AI517" s="176"/>
      <c r="AJ517" s="176"/>
      <c r="AK517" s="176"/>
      <c r="AL517" s="176"/>
      <c r="AM517" s="176"/>
      <c r="AN517" s="176"/>
      <c r="AO517" s="176"/>
      <c r="AP517" s="176"/>
      <c r="AQ517" s="176"/>
      <c r="AR517" s="176"/>
      <c r="AS517" s="176"/>
      <c r="AT517" s="176"/>
      <c r="AU517" s="176"/>
      <c r="AV517" s="176"/>
      <c r="AW517" s="176"/>
      <c r="AX517" s="176"/>
      <c r="AY517" s="176"/>
      <c r="AZ517" s="176"/>
      <c r="BA517" s="176"/>
      <c r="BB517" s="176"/>
      <c r="BC517" s="176"/>
      <c r="BD517" s="176"/>
      <c r="BE517" s="176"/>
      <c r="BF517" s="176"/>
      <c r="BG517" s="176"/>
      <c r="BH517" s="551"/>
      <c r="BI517" s="176"/>
      <c r="BJ517" s="176"/>
      <c r="BK517" s="176"/>
      <c r="BL517" s="176"/>
      <c r="BM517" s="176"/>
      <c r="BN517" s="176"/>
      <c r="BO517" s="176"/>
      <c r="BP517" s="176"/>
      <c r="BQ517" s="176"/>
      <c r="BR517" s="176"/>
      <c r="BS517" s="229"/>
    </row>
    <row r="518" spans="1:71" ht="15">
      <c r="A518" s="633" t="s">
        <v>493</v>
      </c>
      <c r="B518" s="176"/>
      <c r="C518" s="532"/>
      <c r="D518" s="532"/>
      <c r="E518" s="176"/>
      <c r="F518" s="176"/>
      <c r="G518" s="176"/>
      <c r="H518" s="176"/>
      <c r="I518" s="176"/>
      <c r="J518" s="176"/>
      <c r="K518" s="176"/>
      <c r="L518" s="176"/>
      <c r="M518" s="176"/>
      <c r="N518" s="176"/>
      <c r="O518" s="176"/>
      <c r="P518" s="176"/>
      <c r="Q518" s="176"/>
      <c r="R518" s="176"/>
      <c r="S518" s="176"/>
      <c r="T518" s="176"/>
      <c r="U518" s="176"/>
      <c r="V518" s="176"/>
      <c r="W518" s="176"/>
      <c r="X518" s="176"/>
      <c r="Y518" s="176"/>
      <c r="Z518" s="176"/>
      <c r="AA518" s="176"/>
      <c r="AB518" s="176"/>
      <c r="AC518" s="176"/>
      <c r="AD518" s="176"/>
      <c r="AE518" s="176"/>
      <c r="AF518" s="176"/>
      <c r="AG518" s="176"/>
      <c r="AH518" s="176"/>
      <c r="AI518" s="176"/>
      <c r="AJ518" s="176"/>
      <c r="AK518" s="176"/>
      <c r="AL518" s="176"/>
      <c r="AM518" s="176"/>
      <c r="AN518" s="176"/>
      <c r="AO518" s="176"/>
      <c r="AP518" s="176"/>
      <c r="AQ518" s="176"/>
      <c r="AR518" s="176"/>
      <c r="AS518" s="176"/>
      <c r="AT518" s="176"/>
      <c r="AU518" s="176"/>
      <c r="AV518" s="176"/>
      <c r="AW518" s="176"/>
      <c r="AX518" s="176"/>
      <c r="AY518" s="176"/>
      <c r="AZ518" s="176"/>
      <c r="BA518" s="176"/>
      <c r="BB518" s="176"/>
      <c r="BC518" s="176"/>
      <c r="BD518" s="176"/>
      <c r="BE518" s="176"/>
      <c r="BF518" s="176"/>
      <c r="BG518" s="176"/>
      <c r="BH518" s="551"/>
      <c r="BI518" s="176"/>
      <c r="BJ518" s="176"/>
      <c r="BK518" s="176"/>
      <c r="BL518" s="176"/>
      <c r="BM518" s="176"/>
      <c r="BN518" s="176"/>
      <c r="BO518" s="176"/>
      <c r="BP518" s="176"/>
      <c r="BQ518" s="176"/>
      <c r="BR518" s="176"/>
      <c r="BS518" s="229"/>
    </row>
    <row r="519" spans="1:71" ht="15">
      <c r="A519" s="633" t="s">
        <v>494</v>
      </c>
      <c r="B519" s="176"/>
      <c r="C519" s="532"/>
      <c r="D519" s="532"/>
      <c r="E519" s="176"/>
      <c r="F519" s="176"/>
      <c r="G519" s="176"/>
      <c r="H519" s="176"/>
      <c r="I519" s="176"/>
      <c r="J519" s="176"/>
      <c r="K519" s="176"/>
      <c r="L519" s="176"/>
      <c r="M519" s="176"/>
      <c r="N519" s="176"/>
      <c r="O519" s="176"/>
      <c r="P519" s="176"/>
      <c r="Q519" s="176"/>
      <c r="R519" s="176"/>
      <c r="S519" s="176"/>
      <c r="T519" s="176"/>
      <c r="U519" s="176"/>
      <c r="V519" s="176"/>
      <c r="W519" s="176"/>
      <c r="X519" s="176"/>
      <c r="Y519" s="176"/>
      <c r="Z519" s="176"/>
      <c r="AA519" s="176"/>
      <c r="AB519" s="176"/>
      <c r="AC519" s="176"/>
      <c r="AD519" s="176"/>
      <c r="AE519" s="176"/>
      <c r="AF519" s="176"/>
      <c r="AG519" s="176"/>
      <c r="AH519" s="176"/>
      <c r="AI519" s="176"/>
      <c r="AJ519" s="176"/>
      <c r="AK519" s="176"/>
      <c r="AL519" s="176"/>
      <c r="AM519" s="176"/>
      <c r="AN519" s="176"/>
      <c r="AO519" s="176"/>
      <c r="AP519" s="176"/>
      <c r="AQ519" s="176"/>
      <c r="AR519" s="176"/>
      <c r="AS519" s="176"/>
      <c r="AT519" s="176"/>
      <c r="AU519" s="176"/>
      <c r="AV519" s="176"/>
      <c r="AW519" s="176"/>
      <c r="AX519" s="176"/>
      <c r="AY519" s="176"/>
      <c r="AZ519" s="176"/>
      <c r="BA519" s="176"/>
      <c r="BB519" s="176"/>
      <c r="BC519" s="176"/>
      <c r="BD519" s="176"/>
      <c r="BE519" s="176"/>
      <c r="BF519" s="176"/>
      <c r="BG519" s="176"/>
      <c r="BH519" s="551"/>
      <c r="BI519" s="176"/>
      <c r="BJ519" s="176"/>
      <c r="BK519" s="176"/>
      <c r="BL519" s="176"/>
      <c r="BM519" s="176"/>
      <c r="BN519" s="176"/>
      <c r="BO519" s="176"/>
      <c r="BP519" s="176"/>
      <c r="BQ519" s="176"/>
      <c r="BR519" s="176"/>
      <c r="BS519" s="229"/>
    </row>
    <row r="520" spans="1:71" ht="15">
      <c r="A520" s="633" t="s">
        <v>495</v>
      </c>
      <c r="B520" s="176"/>
      <c r="C520" s="532"/>
      <c r="D520" s="532"/>
      <c r="E520" s="176"/>
      <c r="F520" s="176"/>
      <c r="G520" s="176"/>
      <c r="H520" s="176"/>
      <c r="I520" s="176"/>
      <c r="J520" s="176"/>
      <c r="K520" s="176"/>
      <c r="L520" s="176"/>
      <c r="M520" s="176"/>
      <c r="N520" s="176"/>
      <c r="O520" s="176"/>
      <c r="P520" s="176"/>
      <c r="Q520" s="176"/>
      <c r="R520" s="176"/>
      <c r="S520" s="176"/>
      <c r="T520" s="176"/>
      <c r="U520" s="176"/>
      <c r="V520" s="176"/>
      <c r="W520" s="176"/>
      <c r="X520" s="176"/>
      <c r="Y520" s="176"/>
      <c r="Z520" s="176"/>
      <c r="AA520" s="176"/>
      <c r="AB520" s="176"/>
      <c r="AC520" s="176"/>
      <c r="AD520" s="176"/>
      <c r="AE520" s="176"/>
      <c r="AF520" s="176"/>
      <c r="AG520" s="176"/>
      <c r="AH520" s="176"/>
      <c r="AI520" s="176"/>
      <c r="AJ520" s="176"/>
      <c r="AK520" s="176"/>
      <c r="AL520" s="176"/>
      <c r="AM520" s="176"/>
      <c r="AN520" s="176"/>
      <c r="AO520" s="176"/>
      <c r="AP520" s="176"/>
      <c r="AQ520" s="176"/>
      <c r="AR520" s="176"/>
      <c r="AS520" s="176"/>
      <c r="AT520" s="176"/>
      <c r="AU520" s="176"/>
      <c r="AV520" s="176"/>
      <c r="AW520" s="176"/>
      <c r="AX520" s="176"/>
      <c r="AY520" s="176"/>
      <c r="AZ520" s="176"/>
      <c r="BA520" s="176"/>
      <c r="BB520" s="176"/>
      <c r="BC520" s="176"/>
      <c r="BD520" s="176"/>
      <c r="BE520" s="176"/>
      <c r="BF520" s="176"/>
      <c r="BG520" s="176"/>
      <c r="BH520" s="551"/>
      <c r="BI520" s="176"/>
      <c r="BJ520" s="176"/>
      <c r="BK520" s="176"/>
      <c r="BL520" s="176"/>
      <c r="BM520" s="176"/>
      <c r="BN520" s="176"/>
      <c r="BO520" s="176"/>
      <c r="BP520" s="176"/>
      <c r="BQ520" s="176"/>
      <c r="BR520" s="176"/>
      <c r="BS520" s="229"/>
    </row>
    <row r="521" spans="1:71" ht="15">
      <c r="A521" s="633" t="s">
        <v>496</v>
      </c>
      <c r="B521" s="176"/>
      <c r="C521" s="532"/>
      <c r="D521" s="532"/>
      <c r="E521" s="176"/>
      <c r="F521" s="176"/>
      <c r="G521" s="176"/>
      <c r="H521" s="176"/>
      <c r="I521" s="176"/>
      <c r="J521" s="176"/>
      <c r="K521" s="176"/>
      <c r="L521" s="176"/>
      <c r="M521" s="176"/>
      <c r="N521" s="176"/>
      <c r="O521" s="176"/>
      <c r="P521" s="176"/>
      <c r="Q521" s="176"/>
      <c r="R521" s="176"/>
      <c r="S521" s="176"/>
      <c r="T521" s="176"/>
      <c r="U521" s="176"/>
      <c r="V521" s="176"/>
      <c r="W521" s="176"/>
      <c r="X521" s="176"/>
      <c r="Y521" s="176"/>
      <c r="Z521" s="176"/>
      <c r="AA521" s="176"/>
      <c r="AB521" s="176"/>
      <c r="AC521" s="176"/>
      <c r="AD521" s="176"/>
      <c r="AE521" s="176"/>
      <c r="AF521" s="176"/>
      <c r="AG521" s="176"/>
      <c r="AH521" s="176"/>
      <c r="AI521" s="176"/>
      <c r="AJ521" s="176"/>
      <c r="AK521" s="176"/>
      <c r="AL521" s="176"/>
      <c r="AM521" s="176"/>
      <c r="AN521" s="176"/>
      <c r="AO521" s="176"/>
      <c r="AP521" s="176"/>
      <c r="AQ521" s="176"/>
      <c r="AR521" s="176"/>
      <c r="AS521" s="176"/>
      <c r="AT521" s="176"/>
      <c r="AU521" s="176"/>
      <c r="AV521" s="176"/>
      <c r="AW521" s="176"/>
      <c r="AX521" s="176"/>
      <c r="AY521" s="176"/>
      <c r="AZ521" s="176"/>
      <c r="BA521" s="176"/>
      <c r="BB521" s="176"/>
      <c r="BC521" s="176"/>
      <c r="BD521" s="176"/>
      <c r="BE521" s="176"/>
      <c r="BF521" s="176"/>
      <c r="BG521" s="176"/>
      <c r="BH521" s="551"/>
      <c r="BI521" s="176"/>
      <c r="BJ521" s="176"/>
      <c r="BK521" s="176"/>
      <c r="BL521" s="176"/>
      <c r="BM521" s="176"/>
      <c r="BN521" s="176"/>
      <c r="BO521" s="176"/>
      <c r="BP521" s="176"/>
      <c r="BQ521" s="176"/>
      <c r="BR521" s="176"/>
      <c r="BS521" s="229"/>
    </row>
    <row r="522" spans="1:71" ht="15">
      <c r="A522" s="633" t="s">
        <v>497</v>
      </c>
      <c r="B522" s="176"/>
      <c r="C522" s="532"/>
      <c r="D522" s="532"/>
      <c r="E522" s="176"/>
      <c r="F522" s="176"/>
      <c r="G522" s="176"/>
      <c r="H522" s="176"/>
      <c r="I522" s="176"/>
      <c r="J522" s="176"/>
      <c r="K522" s="176"/>
      <c r="L522" s="176"/>
      <c r="M522" s="176"/>
      <c r="N522" s="176"/>
      <c r="O522" s="176"/>
      <c r="P522" s="176"/>
      <c r="Q522" s="176"/>
      <c r="R522" s="176"/>
      <c r="S522" s="176"/>
      <c r="T522" s="176"/>
      <c r="U522" s="176"/>
      <c r="V522" s="176"/>
      <c r="W522" s="176"/>
      <c r="X522" s="176"/>
      <c r="Y522" s="176"/>
      <c r="Z522" s="176"/>
      <c r="AA522" s="176"/>
      <c r="AB522" s="176"/>
      <c r="AC522" s="176"/>
      <c r="AD522" s="176"/>
      <c r="AE522" s="176"/>
      <c r="AF522" s="176"/>
      <c r="AG522" s="176"/>
      <c r="AH522" s="176"/>
      <c r="AI522" s="176"/>
      <c r="AJ522" s="176"/>
      <c r="AK522" s="176"/>
      <c r="AL522" s="176"/>
      <c r="AM522" s="176"/>
      <c r="AN522" s="176"/>
      <c r="AO522" s="176"/>
      <c r="AP522" s="176"/>
      <c r="AQ522" s="176"/>
      <c r="AR522" s="176"/>
      <c r="AS522" s="176"/>
      <c r="AT522" s="176"/>
      <c r="AU522" s="176"/>
      <c r="AV522" s="176"/>
      <c r="AW522" s="176"/>
      <c r="AX522" s="176"/>
      <c r="AY522" s="176"/>
      <c r="AZ522" s="176"/>
      <c r="BA522" s="176"/>
      <c r="BB522" s="176"/>
      <c r="BC522" s="176"/>
      <c r="BD522" s="176"/>
      <c r="BE522" s="176"/>
      <c r="BF522" s="176"/>
      <c r="BG522" s="176"/>
      <c r="BH522" s="551"/>
      <c r="BI522" s="176"/>
      <c r="BJ522" s="176"/>
      <c r="BK522" s="176"/>
      <c r="BL522" s="176"/>
      <c r="BM522" s="176"/>
      <c r="BN522" s="176"/>
      <c r="BO522" s="176"/>
      <c r="BP522" s="176"/>
      <c r="BQ522" s="176"/>
      <c r="BR522" s="176"/>
      <c r="BS522" s="229"/>
    </row>
    <row r="523" spans="1:71" ht="15">
      <c r="A523" s="537"/>
      <c r="B523" s="176"/>
      <c r="C523" s="532"/>
      <c r="D523" s="532"/>
      <c r="E523" s="176"/>
      <c r="F523" s="176"/>
      <c r="G523" s="176"/>
      <c r="H523" s="176"/>
      <c r="I523" s="176"/>
      <c r="J523" s="176"/>
      <c r="K523" s="176"/>
      <c r="L523" s="176"/>
      <c r="M523" s="176"/>
      <c r="N523" s="176"/>
      <c r="O523" s="176"/>
      <c r="P523" s="176"/>
      <c r="Q523" s="176"/>
      <c r="R523" s="176"/>
      <c r="S523" s="176"/>
      <c r="T523" s="176"/>
      <c r="U523" s="176"/>
      <c r="V523" s="176"/>
      <c r="W523" s="176"/>
      <c r="X523" s="176"/>
      <c r="Y523" s="176"/>
      <c r="Z523" s="176"/>
      <c r="AA523" s="176"/>
      <c r="AB523" s="176"/>
      <c r="AC523" s="176"/>
      <c r="AD523" s="176"/>
      <c r="AE523" s="176"/>
      <c r="AF523" s="176"/>
      <c r="AG523" s="176"/>
      <c r="AH523" s="176"/>
      <c r="AI523" s="176"/>
      <c r="AJ523" s="176"/>
      <c r="AK523" s="176"/>
      <c r="AL523" s="176"/>
      <c r="AM523" s="176"/>
      <c r="AN523" s="176"/>
      <c r="AO523" s="176"/>
      <c r="AP523" s="176"/>
      <c r="AQ523" s="176"/>
      <c r="AR523" s="176"/>
      <c r="AS523" s="176"/>
      <c r="AT523" s="176"/>
      <c r="AU523" s="176"/>
      <c r="AV523" s="176"/>
      <c r="AW523" s="176"/>
      <c r="AX523" s="176"/>
      <c r="AY523" s="176"/>
      <c r="AZ523" s="176"/>
      <c r="BA523" s="176"/>
      <c r="BB523" s="176"/>
      <c r="BC523" s="176"/>
      <c r="BD523" s="176"/>
      <c r="BE523" s="176"/>
      <c r="BF523" s="176"/>
      <c r="BG523" s="176"/>
      <c r="BH523" s="551"/>
      <c r="BI523" s="176"/>
      <c r="BJ523" s="176"/>
      <c r="BK523" s="176"/>
      <c r="BL523" s="176"/>
      <c r="BM523" s="176"/>
      <c r="BN523" s="176"/>
      <c r="BO523" s="176"/>
      <c r="BP523" s="176"/>
      <c r="BQ523" s="176"/>
      <c r="BR523" s="176"/>
      <c r="BS523" s="229"/>
    </row>
    <row r="524" spans="1:71" ht="15">
      <c r="A524" s="528"/>
      <c r="B524" s="533"/>
      <c r="C524" s="538"/>
      <c r="D524" s="538"/>
      <c r="E524" s="533"/>
      <c r="F524" s="533"/>
      <c r="G524" s="533"/>
      <c r="H524" s="533"/>
      <c r="I524" s="533"/>
      <c r="J524" s="533"/>
      <c r="K524" s="533"/>
      <c r="L524" s="533"/>
      <c r="M524" s="533"/>
      <c r="N524" s="533"/>
      <c r="O524" s="533"/>
      <c r="P524" s="533"/>
      <c r="Q524" s="533"/>
      <c r="R524" s="533"/>
      <c r="S524" s="533"/>
      <c r="T524" s="533"/>
      <c r="U524" s="533"/>
      <c r="V524" s="533"/>
      <c r="W524" s="533"/>
      <c r="X524" s="533"/>
      <c r="Y524" s="533"/>
      <c r="Z524" s="533"/>
      <c r="AA524" s="533"/>
      <c r="AB524" s="533"/>
      <c r="AC524" s="533"/>
      <c r="AD524" s="533"/>
      <c r="AE524" s="533"/>
      <c r="AF524" s="533"/>
      <c r="AG524" s="533"/>
      <c r="AH524" s="533"/>
      <c r="AI524" s="533"/>
      <c r="AJ524" s="533"/>
      <c r="AK524" s="533"/>
      <c r="AL524" s="533"/>
      <c r="AM524" s="533"/>
      <c r="AN524" s="533"/>
      <c r="AO524" s="533"/>
      <c r="AP524" s="533"/>
      <c r="AQ524" s="533"/>
      <c r="AR524" s="533"/>
      <c r="AS524" s="533"/>
      <c r="AT524" s="533"/>
      <c r="AU524" s="533"/>
      <c r="AV524" s="533"/>
      <c r="AW524" s="533"/>
      <c r="AX524" s="533"/>
      <c r="AY524" s="533"/>
      <c r="AZ524" s="533"/>
      <c r="BA524" s="533"/>
      <c r="BB524" s="533"/>
      <c r="BC524" s="533"/>
      <c r="BD524" s="533"/>
      <c r="BE524" s="533"/>
      <c r="BF524" s="533"/>
      <c r="BG524" s="533"/>
      <c r="BH524" s="556"/>
      <c r="BI524" s="533"/>
      <c r="BJ524" s="533"/>
      <c r="BK524" s="533"/>
      <c r="BL524" s="533"/>
      <c r="BM524" s="533"/>
      <c r="BN524" s="533"/>
      <c r="BO524" s="533"/>
      <c r="BP524" s="533"/>
      <c r="BQ524" s="533"/>
      <c r="BR524" s="533"/>
      <c r="BS524" s="229"/>
    </row>
    <row r="525" spans="1:71" ht="15">
      <c r="A525" s="670" t="s">
        <v>477</v>
      </c>
      <c r="B525" s="615"/>
      <c r="C525" s="665"/>
      <c r="D525" s="665"/>
      <c r="E525" s="615"/>
      <c r="F525" s="615"/>
      <c r="G525" s="615"/>
      <c r="H525" s="615"/>
      <c r="I525" s="615"/>
      <c r="J525" s="615"/>
      <c r="K525" s="615"/>
      <c r="L525" s="615"/>
      <c r="M525" s="615"/>
      <c r="N525" s="615"/>
      <c r="O525" s="615"/>
      <c r="P525" s="615"/>
      <c r="Q525" s="615"/>
      <c r="R525" s="615"/>
      <c r="S525" s="615"/>
      <c r="T525" s="615"/>
      <c r="U525" s="615"/>
      <c r="V525" s="615"/>
      <c r="W525" s="615"/>
      <c r="X525" s="615"/>
      <c r="Y525" s="615"/>
      <c r="Z525" s="615"/>
      <c r="AA525" s="615"/>
      <c r="AB525" s="615"/>
      <c r="AC525" s="615"/>
      <c r="AD525" s="615"/>
      <c r="AE525" s="615"/>
      <c r="AF525" s="615"/>
      <c r="AG525" s="615"/>
      <c r="AH525" s="615"/>
      <c r="AI525" s="615"/>
      <c r="AJ525" s="615"/>
      <c r="AK525" s="615"/>
      <c r="AL525" s="615"/>
      <c r="AM525" s="615"/>
      <c r="AN525" s="615"/>
      <c r="AO525" s="615"/>
      <c r="AP525" s="615"/>
      <c r="AQ525" s="615"/>
      <c r="AR525" s="615"/>
      <c r="AS525" s="615"/>
      <c r="AT525" s="615"/>
      <c r="AU525" s="615"/>
      <c r="AV525" s="615"/>
      <c r="AW525" s="615"/>
      <c r="AX525" s="615"/>
      <c r="AY525" s="615"/>
      <c r="AZ525" s="615"/>
      <c r="BA525" s="615"/>
      <c r="BB525" s="615"/>
      <c r="BC525" s="615"/>
      <c r="BD525" s="615"/>
      <c r="BE525" s="615"/>
      <c r="BF525" s="615"/>
      <c r="BG525" s="615"/>
      <c r="BH525" s="666"/>
      <c r="BI525" s="615"/>
      <c r="BJ525" s="615"/>
      <c r="BK525" s="615"/>
      <c r="BL525" s="615"/>
      <c r="BM525" s="615"/>
      <c r="BN525" s="615"/>
      <c r="BO525" s="615"/>
      <c r="BP525" s="615"/>
      <c r="BQ525" s="615"/>
      <c r="BR525" s="667"/>
      <c r="BS525" s="229"/>
    </row>
    <row r="526" spans="1:71" ht="15">
      <c r="A526" s="671" t="s">
        <v>478</v>
      </c>
      <c r="B526" s="176"/>
      <c r="C526" s="673"/>
      <c r="D526" s="673"/>
      <c r="E526" s="674"/>
      <c r="F526" s="674"/>
      <c r="G526" s="674"/>
      <c r="H526" s="674"/>
      <c r="I526" s="674"/>
      <c r="J526" s="674"/>
      <c r="K526" s="674"/>
      <c r="L526" s="674"/>
      <c r="M526" s="674"/>
      <c r="N526" s="674"/>
      <c r="O526" s="674"/>
      <c r="P526" s="674"/>
      <c r="Q526" s="674"/>
      <c r="R526" s="674"/>
      <c r="S526" s="674"/>
      <c r="T526" s="674"/>
      <c r="U526" s="674"/>
      <c r="V526" s="674"/>
      <c r="W526" s="674"/>
      <c r="X526" s="674"/>
      <c r="Y526" s="674"/>
      <c r="Z526" s="674"/>
      <c r="AA526" s="674"/>
      <c r="AB526" s="674"/>
      <c r="AC526" s="674"/>
      <c r="AD526" s="948">
        <v>43405</v>
      </c>
      <c r="AE526" s="674"/>
      <c r="AF526" s="674"/>
      <c r="AG526" s="674"/>
      <c r="AH526" s="948">
        <v>43672</v>
      </c>
      <c r="AI526" s="948">
        <v>43763</v>
      </c>
      <c r="AJ526" s="948">
        <v>43885</v>
      </c>
      <c r="AK526" s="948">
        <v>43885</v>
      </c>
      <c r="AL526" s="948">
        <v>43950</v>
      </c>
      <c r="AM526" s="674"/>
      <c r="AN526" s="674"/>
      <c r="AO526" s="674"/>
      <c r="AP526" s="674"/>
      <c r="AQ526" s="674"/>
      <c r="AR526" s="674"/>
      <c r="AS526" s="674"/>
      <c r="AT526" s="674"/>
      <c r="AU526" s="674"/>
      <c r="AV526" s="674"/>
      <c r="AW526" s="674"/>
      <c r="AX526" s="674"/>
      <c r="AY526" s="674"/>
      <c r="AZ526" s="674"/>
      <c r="BA526" s="674"/>
      <c r="BB526" s="674"/>
      <c r="BC526" s="674"/>
      <c r="BD526" s="948">
        <v>45322</v>
      </c>
      <c r="BE526" s="948">
        <v>45322</v>
      </c>
      <c r="BF526" s="674"/>
      <c r="BG526" s="948">
        <v>45504</v>
      </c>
      <c r="BH526" s="675"/>
      <c r="BI526" s="674"/>
      <c r="BJ526" s="674"/>
      <c r="BK526" s="674"/>
      <c r="BL526" s="674"/>
      <c r="BM526" s="674"/>
      <c r="BN526" s="674"/>
      <c r="BO526" s="674"/>
      <c r="BP526" s="674"/>
      <c r="BQ526" s="674"/>
      <c r="BR526" s="676"/>
      <c r="BS526" s="229"/>
    </row>
    <row r="527" spans="1:71" ht="15">
      <c r="A527" s="671" t="s">
        <v>479</v>
      </c>
      <c r="B527" s="176"/>
      <c r="C527" s="677"/>
      <c r="D527" s="677"/>
      <c r="E527" s="678"/>
      <c r="F527" s="678"/>
      <c r="G527" s="678"/>
      <c r="H527" s="678"/>
      <c r="I527" s="678"/>
      <c r="J527" s="678"/>
      <c r="K527" s="678"/>
      <c r="L527" s="678"/>
      <c r="M527" s="678"/>
      <c r="N527" s="678"/>
      <c r="O527" s="678"/>
      <c r="P527" s="678"/>
      <c r="Q527" s="678"/>
      <c r="R527" s="678"/>
      <c r="S527" s="678"/>
      <c r="T527" s="678"/>
      <c r="U527" s="678"/>
      <c r="V527" s="678"/>
      <c r="W527" s="678"/>
      <c r="X527" s="678"/>
      <c r="Y527" s="678"/>
      <c r="Z527" s="678"/>
      <c r="AA527" s="678"/>
      <c r="AB527" s="678"/>
      <c r="AC527" s="678"/>
      <c r="AD527" s="678" t="str">
        <f>AE$5</f>
        <v>Q4-2018</v>
      </c>
      <c r="AE527" s="678" t="str">
        <f>AG$5</f>
        <v>Q1-2019</v>
      </c>
      <c r="AF527" s="678" t="str">
        <f>AG$5</f>
        <v>Q1-2019</v>
      </c>
      <c r="AG527" s="678" t="str">
        <f>AH$5</f>
        <v>Q2-2019</v>
      </c>
      <c r="AH527" s="678" t="str">
        <f>AI$5</f>
        <v>Q3-2019</v>
      </c>
      <c r="AI527" s="678" t="str">
        <f>AJ$5</f>
        <v>Q4-2019</v>
      </c>
      <c r="AJ527" s="678" t="str">
        <f>AL$5</f>
        <v>Q1-2020</v>
      </c>
      <c r="AK527" s="678" t="str">
        <f>AL$5</f>
        <v>Q1-2020</v>
      </c>
      <c r="AL527" s="678" t="str">
        <f>AM$5</f>
        <v>Q2-2020</v>
      </c>
      <c r="AM527" s="678" t="str">
        <f>AN$5</f>
        <v>Q3-2020</v>
      </c>
      <c r="AN527" s="678" t="str">
        <f>AO$5</f>
        <v>Q4-2020</v>
      </c>
      <c r="AO527" s="678" t="str">
        <f>AQ$5</f>
        <v>Q1-2021</v>
      </c>
      <c r="AP527" s="678" t="str">
        <f>AQ$5</f>
        <v>Q1-2021</v>
      </c>
      <c r="AQ527" s="678" t="str">
        <f>AR$5</f>
        <v>Q2-2021</v>
      </c>
      <c r="AR527" s="678" t="str">
        <f>AS$5</f>
        <v>Q3-2021</v>
      </c>
      <c r="AS527" s="678" t="str">
        <f>AT$5</f>
        <v>Q4-2021</v>
      </c>
      <c r="AT527" s="678" t="str">
        <f>AV$5</f>
        <v>Q1-2022</v>
      </c>
      <c r="AU527" s="678" t="str">
        <f>AV$5</f>
        <v>Q1-2022</v>
      </c>
      <c r="AV527" s="678" t="str">
        <f>AW$5</f>
        <v>Q2-2022</v>
      </c>
      <c r="AW527" s="678" t="str">
        <f>AX$5</f>
        <v>Q3-2022</v>
      </c>
      <c r="AX527" s="678" t="str">
        <f>AY$5</f>
        <v>Q4-2022</v>
      </c>
      <c r="AY527" s="678" t="str">
        <f>BA$5</f>
        <v>Q1-2023</v>
      </c>
      <c r="AZ527" s="678" t="str">
        <f>BA$5</f>
        <v>Q1-2023</v>
      </c>
      <c r="BA527" s="678" t="str">
        <f>BB$5</f>
        <v>Q2-2023</v>
      </c>
      <c r="BB527" s="678" t="str">
        <f>BC$5</f>
        <v>Q3-2023</v>
      </c>
      <c r="BC527" s="678" t="str">
        <f>BD$5</f>
        <v>Q4-2023</v>
      </c>
      <c r="BD527" s="678" t="str">
        <f>BF$5</f>
        <v>Q1-2024</v>
      </c>
      <c r="BE527" s="678" t="str">
        <f>BF$5</f>
        <v>Q1-2024</v>
      </c>
      <c r="BF527" s="678" t="str">
        <f>BG$5</f>
        <v>Q2-2024</v>
      </c>
      <c r="BG527" s="678" t="str">
        <f>BH$5</f>
        <v>Q3-2024</v>
      </c>
      <c r="BH527" s="679" t="str">
        <f>BI$5</f>
        <v>Q4-2024</v>
      </c>
      <c r="BI527" s="678"/>
      <c r="BJ527" s="678"/>
      <c r="BK527" s="678"/>
      <c r="BL527" s="678"/>
      <c r="BM527" s="678"/>
      <c r="BN527" s="678"/>
      <c r="BO527" s="678"/>
      <c r="BP527" s="678"/>
      <c r="BQ527" s="678"/>
      <c r="BR527" s="680"/>
      <c r="BS527" s="229"/>
    </row>
    <row r="528" spans="1:71" ht="15">
      <c r="A528" s="672"/>
      <c r="B528" s="177"/>
      <c r="C528" s="668"/>
      <c r="D528" s="668"/>
      <c r="E528" s="177"/>
      <c r="F528" s="177"/>
      <c r="G528" s="177"/>
      <c r="H528" s="177"/>
      <c r="I528" s="177"/>
      <c r="J528" s="177"/>
      <c r="K528" s="177"/>
      <c r="L528" s="177"/>
      <c r="M528" s="177"/>
      <c r="N528" s="177"/>
      <c r="O528" s="177"/>
      <c r="P528" s="177"/>
      <c r="Q528" s="177"/>
      <c r="R528" s="177"/>
      <c r="S528" s="177"/>
      <c r="T528" s="177"/>
      <c r="U528" s="177"/>
      <c r="V528" s="177"/>
      <c r="W528" s="177"/>
      <c r="X528" s="177"/>
      <c r="Y528" s="177"/>
      <c r="Z528" s="177"/>
      <c r="AA528" s="177"/>
      <c r="AB528" s="177"/>
      <c r="AC528" s="177"/>
      <c r="AD528" s="177"/>
      <c r="AE528" s="177"/>
      <c r="AF528" s="177"/>
      <c r="AG528" s="177"/>
      <c r="AH528" s="177"/>
      <c r="AI528" s="177"/>
      <c r="AJ528" s="177"/>
      <c r="AK528" s="177"/>
      <c r="AL528" s="177"/>
      <c r="AM528" s="177"/>
      <c r="AN528" s="177"/>
      <c r="AO528" s="177"/>
      <c r="AP528" s="177"/>
      <c r="AQ528" s="177"/>
      <c r="AR528" s="177"/>
      <c r="AS528" s="177"/>
      <c r="AT528" s="177"/>
      <c r="AU528" s="177"/>
      <c r="AV528" s="177"/>
      <c r="AW528" s="177"/>
      <c r="AX528" s="177"/>
      <c r="AY528" s="177"/>
      <c r="AZ528" s="177"/>
      <c r="BA528" s="177"/>
      <c r="BB528" s="177"/>
      <c r="BC528" s="177"/>
      <c r="BD528" s="177"/>
      <c r="BE528" s="177"/>
      <c r="BF528" s="177"/>
      <c r="BG528" s="177"/>
      <c r="BH528" s="638"/>
      <c r="BI528" s="177"/>
      <c r="BJ528" s="177"/>
      <c r="BK528" s="177"/>
      <c r="BL528" s="177"/>
      <c r="BM528" s="177"/>
      <c r="BN528" s="177"/>
      <c r="BO528" s="177"/>
      <c r="BP528" s="177"/>
      <c r="BQ528" s="177"/>
      <c r="BR528" s="669"/>
      <c r="BS528" s="229"/>
    </row>
    <row r="529" spans="1:71" ht="15">
      <c r="A529" s="528"/>
      <c r="B529" s="533"/>
      <c r="C529" s="538"/>
      <c r="D529" s="538"/>
      <c r="E529" s="533"/>
      <c r="F529" s="533"/>
      <c r="G529" s="533"/>
      <c r="H529" s="533"/>
      <c r="I529" s="533"/>
      <c r="J529" s="533"/>
      <c r="K529" s="533"/>
      <c r="L529" s="533"/>
      <c r="M529" s="533"/>
      <c r="N529" s="533"/>
      <c r="O529" s="533"/>
      <c r="P529" s="533"/>
      <c r="Q529" s="533"/>
      <c r="R529" s="533"/>
      <c r="S529" s="533"/>
      <c r="T529" s="533"/>
      <c r="U529" s="533"/>
      <c r="V529" s="533"/>
      <c r="W529" s="533"/>
      <c r="X529" s="533"/>
      <c r="Y529" s="533"/>
      <c r="Z529" s="533"/>
      <c r="AA529" s="533"/>
      <c r="AB529" s="533"/>
      <c r="AC529" s="533"/>
      <c r="AD529" s="533"/>
      <c r="AE529" s="533"/>
      <c r="AF529" s="533"/>
      <c r="AG529" s="533"/>
      <c r="AH529" s="533"/>
      <c r="AI529" s="533"/>
      <c r="AJ529" s="533"/>
      <c r="AK529" s="533"/>
      <c r="AL529" s="533"/>
      <c r="AM529" s="533"/>
      <c r="AN529" s="533"/>
      <c r="AO529" s="533"/>
      <c r="AP529" s="533"/>
      <c r="AQ529" s="533"/>
      <c r="AR529" s="533"/>
      <c r="AS529" s="533"/>
      <c r="AT529" s="533"/>
      <c r="AU529" s="533"/>
      <c r="AV529" s="533"/>
      <c r="AW529" s="533"/>
      <c r="AX529" s="533"/>
      <c r="AY529" s="533"/>
      <c r="AZ529" s="533"/>
      <c r="BA529" s="533"/>
      <c r="BB529" s="533"/>
      <c r="BC529" s="533"/>
      <c r="BD529" s="533"/>
      <c r="BE529" s="533"/>
      <c r="BF529" s="533"/>
      <c r="BG529" s="533"/>
      <c r="BH529" s="556"/>
      <c r="BI529" s="533"/>
      <c r="BJ529" s="533"/>
      <c r="BK529" s="533"/>
      <c r="BL529" s="533"/>
      <c r="BM529" s="533"/>
      <c r="BN529" s="533"/>
      <c r="BO529" s="533"/>
      <c r="BP529" s="533"/>
      <c r="BQ529" s="533"/>
      <c r="BR529" s="533"/>
      <c r="BS529" s="229"/>
    </row>
    <row r="530" spans="1:71" ht="15">
      <c r="A530" s="670" t="s">
        <v>480</v>
      </c>
      <c r="B530" s="615"/>
      <c r="C530" s="665"/>
      <c r="D530" s="665"/>
      <c r="E530" s="615"/>
      <c r="F530" s="615"/>
      <c r="G530" s="615"/>
      <c r="H530" s="615"/>
      <c r="I530" s="615"/>
      <c r="J530" s="615"/>
      <c r="K530" s="615"/>
      <c r="L530" s="615"/>
      <c r="M530" s="615"/>
      <c r="N530" s="615"/>
      <c r="O530" s="615"/>
      <c r="P530" s="615"/>
      <c r="Q530" s="615"/>
      <c r="R530" s="615"/>
      <c r="S530" s="615"/>
      <c r="T530" s="615"/>
      <c r="U530" s="615"/>
      <c r="V530" s="615"/>
      <c r="W530" s="615"/>
      <c r="X530" s="615"/>
      <c r="Y530" s="615"/>
      <c r="Z530" s="615"/>
      <c r="AA530" s="615"/>
      <c r="AB530" s="615"/>
      <c r="AC530" s="615"/>
      <c r="AD530" s="615"/>
      <c r="AE530" s="615"/>
      <c r="AF530" s="615"/>
      <c r="AG530" s="615"/>
      <c r="AH530" s="615"/>
      <c r="AI530" s="615"/>
      <c r="AJ530" s="615"/>
      <c r="AK530" s="615"/>
      <c r="AL530" s="615"/>
      <c r="AM530" s="615"/>
      <c r="AN530" s="615"/>
      <c r="AO530" s="615"/>
      <c r="AP530" s="615"/>
      <c r="AQ530" s="615"/>
      <c r="AR530" s="615"/>
      <c r="AS530" s="615"/>
      <c r="AT530" s="615"/>
      <c r="AU530" s="615"/>
      <c r="AV530" s="615"/>
      <c r="AW530" s="615"/>
      <c r="AX530" s="615"/>
      <c r="AY530" s="615"/>
      <c r="AZ530" s="615"/>
      <c r="BA530" s="615"/>
      <c r="BB530" s="615"/>
      <c r="BC530" s="615"/>
      <c r="BD530" s="615"/>
      <c r="BE530" s="615"/>
      <c r="BF530" s="615"/>
      <c r="BG530" s="615"/>
      <c r="BH530" s="666"/>
      <c r="BI530" s="615"/>
      <c r="BJ530" s="615"/>
      <c r="BK530" s="615"/>
      <c r="BL530" s="615"/>
      <c r="BM530" s="615"/>
      <c r="BN530" s="615"/>
      <c r="BO530" s="615"/>
      <c r="BP530" s="615"/>
      <c r="BQ530" s="615"/>
      <c r="BR530" s="667"/>
      <c r="BS530" s="229"/>
    </row>
    <row r="531" spans="1:71" ht="15">
      <c r="A531" s="671" t="s">
        <v>478</v>
      </c>
      <c r="B531" s="176"/>
      <c r="C531" s="673"/>
      <c r="D531" s="673"/>
      <c r="E531" s="674"/>
      <c r="F531" s="674"/>
      <c r="G531" s="674"/>
      <c r="H531" s="674"/>
      <c r="I531" s="674"/>
      <c r="J531" s="674"/>
      <c r="K531" s="674"/>
      <c r="L531" s="674"/>
      <c r="M531" s="674"/>
      <c r="N531" s="674"/>
      <c r="O531" s="674"/>
      <c r="P531" s="674"/>
      <c r="Q531" s="674"/>
      <c r="R531" s="674"/>
      <c r="S531" s="674"/>
      <c r="T531" s="674"/>
      <c r="U531" s="674"/>
      <c r="V531" s="674"/>
      <c r="W531" s="674"/>
      <c r="X531" s="674"/>
      <c r="Y531" s="674"/>
      <c r="Z531" s="674"/>
      <c r="AA531" s="674"/>
      <c r="AB531" s="674"/>
      <c r="AC531" s="674"/>
      <c r="AD531" s="674">
        <f>AD526</f>
        <v>43405</v>
      </c>
      <c r="AE531" s="674"/>
      <c r="AF531" s="674"/>
      <c r="AG531" s="674"/>
      <c r="AH531" s="674">
        <f>AH526</f>
        <v>43672</v>
      </c>
      <c r="AI531" s="674">
        <f>AI526</f>
        <v>43763</v>
      </c>
      <c r="AJ531" s="674">
        <f>AJ526</f>
        <v>43885</v>
      </c>
      <c r="AK531" s="674">
        <f>AK526</f>
        <v>43885</v>
      </c>
      <c r="AL531" s="674">
        <f>AL526</f>
        <v>43950</v>
      </c>
      <c r="AM531" s="674"/>
      <c r="AN531" s="674"/>
      <c r="AO531" s="674"/>
      <c r="AP531" s="674"/>
      <c r="AQ531" s="674"/>
      <c r="AR531" s="674"/>
      <c r="AS531" s="674"/>
      <c r="AT531" s="674"/>
      <c r="AU531" s="674"/>
      <c r="AV531" s="674"/>
      <c r="AW531" s="674"/>
      <c r="AX531" s="674"/>
      <c r="AY531" s="674"/>
      <c r="AZ531" s="674"/>
      <c r="BA531" s="674"/>
      <c r="BB531" s="674"/>
      <c r="BC531" s="674"/>
      <c r="BD531" s="674"/>
      <c r="BE531" s="674"/>
      <c r="BF531" s="674"/>
      <c r="BG531" s="674"/>
      <c r="BH531" s="675"/>
      <c r="BI531" s="674"/>
      <c r="BJ531" s="674"/>
      <c r="BK531" s="674"/>
      <c r="BL531" s="674"/>
      <c r="BM531" s="674"/>
      <c r="BN531" s="674"/>
      <c r="BO531" s="674"/>
      <c r="BP531" s="674"/>
      <c r="BQ531" s="674"/>
      <c r="BR531" s="676"/>
      <c r="BS531" s="229"/>
    </row>
    <row r="532" spans="1:71" ht="15">
      <c r="A532" s="671" t="s">
        <v>481</v>
      </c>
      <c r="B532" s="176"/>
      <c r="C532" s="677"/>
      <c r="D532" s="677"/>
      <c r="E532" s="678"/>
      <c r="F532" s="678"/>
      <c r="G532" s="678"/>
      <c r="H532" s="678"/>
      <c r="I532" s="678"/>
      <c r="J532" s="678"/>
      <c r="K532" s="678"/>
      <c r="L532" s="678"/>
      <c r="M532" s="678"/>
      <c r="N532" s="678"/>
      <c r="O532" s="678"/>
      <c r="P532" s="678"/>
      <c r="Q532" s="678"/>
      <c r="R532" s="678"/>
      <c r="S532" s="678"/>
      <c r="T532" s="678"/>
      <c r="U532" s="678"/>
      <c r="V532" s="678"/>
      <c r="W532" s="678"/>
      <c r="X532" s="678"/>
      <c r="Y532" s="678"/>
      <c r="Z532" s="678"/>
      <c r="AA532" s="678"/>
      <c r="AB532" s="678"/>
      <c r="AC532" s="678"/>
      <c r="AD532" s="678" t="str">
        <f t="shared" si="1178" ref="AD532:BC532">IF(AD533=AE533,"",AD533)</f>
        <v>FY2018</v>
      </c>
      <c r="AE532" s="678" t="str">
        <f t="shared" si="1178"/>
        <v/>
      </c>
      <c r="AF532" s="678" t="str">
        <f t="shared" si="1178"/>
        <v/>
      </c>
      <c r="AG532" s="678" t="str">
        <f t="shared" si="1178"/>
        <v/>
      </c>
      <c r="AH532" s="678" t="str">
        <f t="shared" si="1178"/>
        <v/>
      </c>
      <c r="AI532" s="678" t="str">
        <f t="shared" si="1178"/>
        <v>FY2019</v>
      </c>
      <c r="AJ532" s="678" t="str">
        <f t="shared" si="1178"/>
        <v/>
      </c>
      <c r="AK532" s="678" t="str">
        <f t="shared" si="1178"/>
        <v/>
      </c>
      <c r="AL532" s="678" t="str">
        <f t="shared" si="1178"/>
        <v/>
      </c>
      <c r="AM532" s="678" t="str">
        <f t="shared" si="1178"/>
        <v/>
      </c>
      <c r="AN532" s="678" t="str">
        <f t="shared" si="1178"/>
        <v>FY2020</v>
      </c>
      <c r="AO532" s="678" t="str">
        <f t="shared" si="1178"/>
        <v/>
      </c>
      <c r="AP532" s="678" t="str">
        <f t="shared" si="1178"/>
        <v/>
      </c>
      <c r="AQ532" s="678" t="str">
        <f t="shared" si="1178"/>
        <v/>
      </c>
      <c r="AR532" s="678" t="str">
        <f t="shared" si="1178"/>
        <v/>
      </c>
      <c r="AS532" s="678" t="str">
        <f t="shared" si="1178"/>
        <v>FY2021</v>
      </c>
      <c r="AT532" s="678" t="str">
        <f t="shared" si="1178"/>
        <v/>
      </c>
      <c r="AU532" s="678" t="str">
        <f t="shared" si="1178"/>
        <v/>
      </c>
      <c r="AV532" s="678" t="str">
        <f t="shared" si="1178"/>
        <v/>
      </c>
      <c r="AW532" s="678" t="str">
        <f t="shared" si="1178"/>
        <v/>
      </c>
      <c r="AX532" s="678" t="str">
        <f t="shared" si="1178"/>
        <v>FY2022</v>
      </c>
      <c r="AY532" s="678" t="str">
        <f t="shared" si="1178"/>
        <v/>
      </c>
      <c r="AZ532" s="678" t="str">
        <f t="shared" si="1178"/>
        <v/>
      </c>
      <c r="BA532" s="678" t="str">
        <f t="shared" si="1178"/>
        <v/>
      </c>
      <c r="BB532" s="678" t="str">
        <f t="shared" si="1178"/>
        <v/>
      </c>
      <c r="BC532" s="678" t="str">
        <f t="shared" si="1178"/>
        <v>FY2023</v>
      </c>
      <c r="BD532" s="678" t="str">
        <f>IF(BD533=BE533,"",BD533)</f>
        <v/>
      </c>
      <c r="BE532" s="678" t="str">
        <f>IF(BE533=BF533,"",BE533)</f>
        <v/>
      </c>
      <c r="BF532" s="678" t="str">
        <f>IF(BF533=BG533,"",BF533)</f>
        <v/>
      </c>
      <c r="BG532" s="678" t="str">
        <f>IF(BG533=BH533,"",BG533)</f>
        <v/>
      </c>
      <c r="BH532" s="679" t="str">
        <f>IF(BH533=BI533,"",BH533)</f>
        <v>FY2024</v>
      </c>
      <c r="BI532" s="678"/>
      <c r="BJ532" s="678"/>
      <c r="BK532" s="678"/>
      <c r="BL532" s="678"/>
      <c r="BM532" s="678"/>
      <c r="BN532" s="678"/>
      <c r="BO532" s="678"/>
      <c r="BP532" s="678"/>
      <c r="BQ532" s="678"/>
      <c r="BR532" s="680"/>
      <c r="BS532" s="229"/>
    </row>
    <row r="533" spans="1:71" ht="15">
      <c r="A533" s="671" t="s">
        <v>479</v>
      </c>
      <c r="B533" s="176"/>
      <c r="C533" s="677"/>
      <c r="D533" s="677"/>
      <c r="E533" s="678"/>
      <c r="F533" s="678"/>
      <c r="G533" s="678"/>
      <c r="H533" s="678"/>
      <c r="I533" s="678"/>
      <c r="J533" s="678"/>
      <c r="K533" s="678"/>
      <c r="L533" s="678"/>
      <c r="M533" s="678"/>
      <c r="N533" s="678"/>
      <c r="O533" s="678"/>
      <c r="P533" s="678"/>
      <c r="Q533" s="678"/>
      <c r="R533" s="678"/>
      <c r="S533" s="678"/>
      <c r="T533" s="678"/>
      <c r="U533" s="678"/>
      <c r="V533" s="678"/>
      <c r="W533" s="678"/>
      <c r="X533" s="678"/>
      <c r="Y533" s="678"/>
      <c r="Z533" s="678"/>
      <c r="AA533" s="678"/>
      <c r="AB533" s="678"/>
      <c r="AC533" s="678"/>
      <c r="AD533" s="678" t="str">
        <f>AF$5</f>
        <v>FY2018</v>
      </c>
      <c r="AE533" s="678" t="str">
        <f>AK$5</f>
        <v>FY2019</v>
      </c>
      <c r="AF533" s="678" t="str">
        <f>AK$5</f>
        <v>FY2019</v>
      </c>
      <c r="AG533" s="678" t="str">
        <f>AK$5</f>
        <v>FY2019</v>
      </c>
      <c r="AH533" s="678" t="str">
        <f>AK$5</f>
        <v>FY2019</v>
      </c>
      <c r="AI533" s="678" t="str">
        <f>AK$5</f>
        <v>FY2019</v>
      </c>
      <c r="AJ533" s="678" t="str">
        <f>AP$5</f>
        <v>FY2020</v>
      </c>
      <c r="AK533" s="678" t="str">
        <f>AP$5</f>
        <v>FY2020</v>
      </c>
      <c r="AL533" s="678" t="str">
        <f>AP$5</f>
        <v>FY2020</v>
      </c>
      <c r="AM533" s="678" t="str">
        <f>AP$5</f>
        <v>FY2020</v>
      </c>
      <c r="AN533" s="678" t="str">
        <f>AP$5</f>
        <v>FY2020</v>
      </c>
      <c r="AO533" s="678" t="str">
        <f>AU$5</f>
        <v>FY2021</v>
      </c>
      <c r="AP533" s="678" t="str">
        <f>AU$5</f>
        <v>FY2021</v>
      </c>
      <c r="AQ533" s="678" t="str">
        <f>AU$5</f>
        <v>FY2021</v>
      </c>
      <c r="AR533" s="678" t="str">
        <f>AU$5</f>
        <v>FY2021</v>
      </c>
      <c r="AS533" s="678" t="str">
        <f>AU$5</f>
        <v>FY2021</v>
      </c>
      <c r="AT533" s="678" t="str">
        <f>AZ$5</f>
        <v>FY2022</v>
      </c>
      <c r="AU533" s="678" t="str">
        <f>AZ$5</f>
        <v>FY2022</v>
      </c>
      <c r="AV533" s="678" t="str">
        <f>AZ$5</f>
        <v>FY2022</v>
      </c>
      <c r="AW533" s="678" t="str">
        <f>AZ$5</f>
        <v>FY2022</v>
      </c>
      <c r="AX533" s="678" t="str">
        <f>AZ$5</f>
        <v>FY2022</v>
      </c>
      <c r="AY533" s="678" t="str">
        <f>BE$5</f>
        <v>FY2023</v>
      </c>
      <c r="AZ533" s="678" t="str">
        <f>BE$5</f>
        <v>FY2023</v>
      </c>
      <c r="BA533" s="678" t="str">
        <f>BE$5</f>
        <v>FY2023</v>
      </c>
      <c r="BB533" s="678" t="str">
        <f>BE$5</f>
        <v>FY2023</v>
      </c>
      <c r="BC533" s="678" t="str">
        <f>BE$5</f>
        <v>FY2023</v>
      </c>
      <c r="BD533" s="678" t="str">
        <f>BJ$5</f>
        <v>FY2024</v>
      </c>
      <c r="BE533" s="678" t="str">
        <f>BJ$5</f>
        <v>FY2024</v>
      </c>
      <c r="BF533" s="678" t="str">
        <f>BJ$5</f>
        <v>FY2024</v>
      </c>
      <c r="BG533" s="678" t="str">
        <f>BJ$5</f>
        <v>FY2024</v>
      </c>
      <c r="BH533" s="679" t="str">
        <f>BJ$5</f>
        <v>FY2024</v>
      </c>
      <c r="BI533" s="678"/>
      <c r="BJ533" s="678"/>
      <c r="BK533" s="678"/>
      <c r="BL533" s="678"/>
      <c r="BM533" s="678"/>
      <c r="BN533" s="678"/>
      <c r="BO533" s="678"/>
      <c r="BP533" s="678"/>
      <c r="BQ533" s="678"/>
      <c r="BR533" s="680"/>
      <c r="BS533" s="229"/>
    </row>
    <row r="534" spans="1:71" ht="15">
      <c r="A534" s="672"/>
      <c r="B534" s="177"/>
      <c r="C534" s="668"/>
      <c r="D534" s="668"/>
      <c r="E534" s="177"/>
      <c r="F534" s="177"/>
      <c r="G534" s="177"/>
      <c r="H534" s="177"/>
      <c r="I534" s="177"/>
      <c r="J534" s="177"/>
      <c r="K534" s="177"/>
      <c r="L534" s="177"/>
      <c r="M534" s="177"/>
      <c r="N534" s="177"/>
      <c r="O534" s="177"/>
      <c r="P534" s="177"/>
      <c r="Q534" s="177"/>
      <c r="R534" s="177"/>
      <c r="S534" s="177"/>
      <c r="T534" s="177"/>
      <c r="U534" s="177"/>
      <c r="V534" s="177"/>
      <c r="W534" s="177"/>
      <c r="X534" s="177"/>
      <c r="Y534" s="177"/>
      <c r="Z534" s="177"/>
      <c r="AA534" s="177"/>
      <c r="AB534" s="177"/>
      <c r="AC534" s="177"/>
      <c r="AD534" s="177"/>
      <c r="AE534" s="177"/>
      <c r="AF534" s="177"/>
      <c r="AG534" s="177"/>
      <c r="AH534" s="177"/>
      <c r="AI534" s="177"/>
      <c r="AJ534" s="177"/>
      <c r="AK534" s="177"/>
      <c r="AL534" s="177"/>
      <c r="AM534" s="177"/>
      <c r="AN534" s="177"/>
      <c r="AO534" s="177"/>
      <c r="AP534" s="177"/>
      <c r="AQ534" s="177"/>
      <c r="AR534" s="177"/>
      <c r="AS534" s="177"/>
      <c r="AT534" s="177"/>
      <c r="AU534" s="177"/>
      <c r="AV534" s="177"/>
      <c r="AW534" s="177"/>
      <c r="AX534" s="177"/>
      <c r="AY534" s="177"/>
      <c r="AZ534" s="177"/>
      <c r="BA534" s="177"/>
      <c r="BB534" s="177"/>
      <c r="BC534" s="177"/>
      <c r="BD534" s="177"/>
      <c r="BE534" s="177"/>
      <c r="BF534" s="177"/>
      <c r="BG534" s="177"/>
      <c r="BH534" s="638"/>
      <c r="BI534" s="177"/>
      <c r="BJ534" s="177"/>
      <c r="BK534" s="177"/>
      <c r="BL534" s="177"/>
      <c r="BM534" s="177"/>
      <c r="BN534" s="177"/>
      <c r="BO534" s="177"/>
      <c r="BP534" s="177"/>
      <c r="BQ534" s="177"/>
      <c r="BR534" s="669"/>
      <c r="BS534" s="229"/>
    </row>
    <row r="535" spans="1:71" ht="15">
      <c r="A535" s="528"/>
      <c r="B535" s="533"/>
      <c r="C535" s="538"/>
      <c r="D535" s="538"/>
      <c r="E535" s="533"/>
      <c r="F535" s="533"/>
      <c r="G535" s="533"/>
      <c r="H535" s="533"/>
      <c r="I535" s="533"/>
      <c r="J535" s="533"/>
      <c r="K535" s="533"/>
      <c r="L535" s="533"/>
      <c r="M535" s="533"/>
      <c r="N535" s="533"/>
      <c r="O535" s="533"/>
      <c r="P535" s="533"/>
      <c r="Q535" s="533"/>
      <c r="R535" s="533"/>
      <c r="S535" s="533"/>
      <c r="T535" s="533"/>
      <c r="U535" s="533"/>
      <c r="V535" s="533"/>
      <c r="W535" s="533"/>
      <c r="X535" s="533"/>
      <c r="Y535" s="533"/>
      <c r="Z535" s="533"/>
      <c r="AA535" s="533"/>
      <c r="AB535" s="533"/>
      <c r="AC535" s="533"/>
      <c r="AD535" s="533"/>
      <c r="AE535" s="533"/>
      <c r="AF535" s="533"/>
      <c r="AG535" s="533"/>
      <c r="AH535" s="533"/>
      <c r="AI535" s="533"/>
      <c r="AJ535" s="533"/>
      <c r="AK535" s="533"/>
      <c r="AL535" s="533"/>
      <c r="AM535" s="533"/>
      <c r="AN535" s="533"/>
      <c r="AO535" s="533"/>
      <c r="AP535" s="533"/>
      <c r="AQ535" s="533"/>
      <c r="AR535" s="533"/>
      <c r="AS535" s="533"/>
      <c r="AT535" s="533"/>
      <c r="AU535" s="533"/>
      <c r="AV535" s="533"/>
      <c r="AW535" s="533"/>
      <c r="AX535" s="533"/>
      <c r="AY535" s="533"/>
      <c r="AZ535" s="533"/>
      <c r="BA535" s="533"/>
      <c r="BB535" s="533"/>
      <c r="BC535" s="533"/>
      <c r="BD535" s="533"/>
      <c r="BE535" s="533"/>
      <c r="BF535" s="533"/>
      <c r="BG535" s="533"/>
      <c r="BH535" s="556"/>
      <c r="BI535" s="533"/>
      <c r="BJ535" s="533"/>
      <c r="BK535" s="533"/>
      <c r="BL535" s="533"/>
      <c r="BM535" s="533"/>
      <c r="BN535" s="533"/>
      <c r="BO535" s="533"/>
      <c r="BP535" s="533"/>
      <c r="BQ535" s="533"/>
      <c r="BR535" s="533"/>
      <c r="BS535" s="229"/>
    </row>
    <row r="536" spans="1:71" s="40" customFormat="1" ht="15">
      <c r="A536" s="854" t="s">
        <v>205</v>
      </c>
      <c r="B536" s="855"/>
      <c r="C536" s="855"/>
      <c r="D536" s="855"/>
      <c r="E536" s="855"/>
      <c r="F536" s="855"/>
      <c r="G536" s="855"/>
      <c r="H536" s="855"/>
      <c r="I536" s="855"/>
      <c r="J536" s="855"/>
      <c r="K536" s="855"/>
      <c r="L536" s="855"/>
      <c r="M536" s="855"/>
      <c r="N536" s="855"/>
      <c r="O536" s="855"/>
      <c r="P536" s="855"/>
      <c r="Q536" s="855"/>
      <c r="R536" s="855"/>
      <c r="S536" s="855"/>
      <c r="T536" s="855"/>
      <c r="U536" s="855"/>
      <c r="V536" s="855"/>
      <c r="W536" s="855"/>
      <c r="X536" s="855"/>
      <c r="Y536" s="855"/>
      <c r="Z536" s="855"/>
      <c r="AA536" s="855"/>
      <c r="AB536" s="855"/>
      <c r="AC536" s="855"/>
      <c r="AD536" s="855"/>
      <c r="AE536" s="855"/>
      <c r="AF536" s="855"/>
      <c r="AG536" s="855"/>
      <c r="AH536" s="855"/>
      <c r="AI536" s="855"/>
      <c r="AJ536" s="855"/>
      <c r="AK536" s="855"/>
      <c r="AL536" s="855"/>
      <c r="AM536" s="855"/>
      <c r="AN536" s="855"/>
      <c r="AO536" s="855"/>
      <c r="AP536" s="855"/>
      <c r="AQ536" s="855"/>
      <c r="AR536" s="855"/>
      <c r="AS536" s="855"/>
      <c r="AT536" s="855"/>
      <c r="AU536" s="855"/>
      <c r="AV536" s="855"/>
      <c r="AW536" s="855"/>
      <c r="AX536" s="855"/>
      <c r="AY536" s="855"/>
      <c r="AZ536" s="855"/>
      <c r="BA536" s="855"/>
      <c r="BB536" s="855"/>
      <c r="BC536" s="855"/>
      <c r="BD536" s="855"/>
      <c r="BE536" s="855"/>
      <c r="BF536" s="855"/>
      <c r="BG536" s="855"/>
      <c r="BH536" s="856"/>
      <c r="BI536" s="855" t="str">
        <f>BI5</f>
        <v>Q4-2024</v>
      </c>
      <c r="BJ536" s="855" t="str">
        <f t="shared" si="1179" ref="BJ536">BJ5</f>
        <v>FY2024</v>
      </c>
      <c r="BK536" s="855" t="str">
        <f t="shared" si="1180" ref="BK536:BR536">BK5</f>
        <v>Q1-2025</v>
      </c>
      <c r="BL536" s="855" t="str">
        <f t="shared" si="1180"/>
        <v>Q2-2025</v>
      </c>
      <c r="BM536" s="855" t="str">
        <f t="shared" si="1180"/>
        <v>Q3-2025</v>
      </c>
      <c r="BN536" s="855" t="str">
        <f t="shared" si="1180"/>
        <v>Q4-2025</v>
      </c>
      <c r="BO536" s="855" t="str">
        <f t="shared" si="1180"/>
        <v>FY2025</v>
      </c>
      <c r="BP536" s="855" t="str">
        <f t="shared" si="1180"/>
        <v>FY2026</v>
      </c>
      <c r="BQ536" s="855" t="str">
        <f t="shared" si="1180"/>
        <v>FY2027</v>
      </c>
      <c r="BR536" s="857" t="str">
        <f t="shared" si="1180"/>
        <v>FY2028</v>
      </c>
      <c r="BS536" s="317"/>
    </row>
    <row r="537" spans="1:71" s="40" customFormat="1" ht="15">
      <c r="A537" s="858" t="s">
        <v>206</v>
      </c>
      <c r="B537" s="839"/>
      <c r="C537" s="839"/>
      <c r="D537" s="839"/>
      <c r="E537" s="839"/>
      <c r="F537" s="839"/>
      <c r="G537" s="839"/>
      <c r="H537" s="839"/>
      <c r="I537" s="839"/>
      <c r="J537" s="839"/>
      <c r="K537" s="839"/>
      <c r="L537" s="839"/>
      <c r="M537" s="839"/>
      <c r="N537" s="839"/>
      <c r="O537" s="839"/>
      <c r="P537" s="839"/>
      <c r="Q537" s="839"/>
      <c r="R537" s="839"/>
      <c r="S537" s="839"/>
      <c r="T537" s="839"/>
      <c r="U537" s="839"/>
      <c r="V537" s="839"/>
      <c r="W537" s="839"/>
      <c r="X537" s="839"/>
      <c r="Y537" s="839"/>
      <c r="Z537" s="839"/>
      <c r="AA537" s="839"/>
      <c r="AB537" s="839"/>
      <c r="AC537" s="839"/>
      <c r="AD537" s="839"/>
      <c r="AE537" s="839"/>
      <c r="AF537" s="839"/>
      <c r="AG537" s="839"/>
      <c r="AH537" s="839"/>
      <c r="AI537" s="839"/>
      <c r="AJ537" s="839"/>
      <c r="AK537" s="839"/>
      <c r="AL537" s="839"/>
      <c r="AM537" s="839"/>
      <c r="AN537" s="839"/>
      <c r="AO537" s="839"/>
      <c r="AP537" s="839"/>
      <c r="AQ537" s="839"/>
      <c r="AR537" s="839"/>
      <c r="AS537" s="839"/>
      <c r="AT537" s="839"/>
      <c r="AU537" s="839"/>
      <c r="AV537" s="839"/>
      <c r="AW537" s="839"/>
      <c r="AX537" s="839"/>
      <c r="AY537" s="839"/>
      <c r="AZ537" s="839"/>
      <c r="BA537" s="839"/>
      <c r="BB537" s="839"/>
      <c r="BC537" s="839"/>
      <c r="BD537" s="839"/>
      <c r="BE537" s="839"/>
      <c r="BF537" s="839"/>
      <c r="BG537" s="839"/>
      <c r="BH537" s="840"/>
      <c r="BI537" s="839" t="str">
        <f ca="1">IF(MO.DataSourceIndex=3,IF(LEFT(INDIRECT(ADDRESS(ROW()-1,COLUMN())),2)="FY","ANNUAL",IF(LEFT(INDIRECT(ADDRESS(ROW()-1,COLUMN())),1)="Q","QUARTERLY","")),IF(LEFT(INDIRECT(ADDRESS(ROW()-1,COLUMN())),2)="FY","FY",IF(LEFT(INDIRECT(ADDRESS(ROW()-1,COLUMN())),1)="Q","FQ","FH")))</f>
        <v>FQ</v>
      </c>
      <c r="BJ537" s="839" t="str">
        <f ca="1" t="shared" si="1181" ref="BJ537">IF(MO.DataSourceIndex=3,IF(LEFT(INDIRECT(ADDRESS(ROW()-1,COLUMN())),2)="FY","ANNUAL",IF(LEFT(INDIRECT(ADDRESS(ROW()-1,COLUMN())),1)="Q","QUARTERLY","")),IF(LEFT(INDIRECT(ADDRESS(ROW()-1,COLUMN())),2)="FY","FY",IF(LEFT(INDIRECT(ADDRESS(ROW()-1,COLUMN())),1)="Q","FQ","FH")))</f>
        <v>FY</v>
      </c>
      <c r="BK537" s="839" t="str">
        <f ca="1" t="shared" si="1182" ref="BK537:BR537">IF(MO.DataSourceIndex=3,IF(LEFT(INDIRECT(ADDRESS(ROW()-1,COLUMN())),2)="FY","ANNUAL",IF(LEFT(INDIRECT(ADDRESS(ROW()-1,COLUMN())),1)="Q","QUARTERLY","")),IF(LEFT(INDIRECT(ADDRESS(ROW()-1,COLUMN())),2)="FY","FY",IF(LEFT(INDIRECT(ADDRESS(ROW()-1,COLUMN())),1)="Q","FQ","FH")))</f>
        <v>FQ</v>
      </c>
      <c r="BL537" s="839" t="str">
        <f t="shared" ca="1" si="1182"/>
        <v>FQ</v>
      </c>
      <c r="BM537" s="839" t="str">
        <f t="shared" ca="1" si="1182"/>
        <v>FQ</v>
      </c>
      <c r="BN537" s="839" t="str">
        <f t="shared" ca="1" si="1182"/>
        <v>FQ</v>
      </c>
      <c r="BO537" s="839" t="str">
        <f t="shared" ca="1" si="1182"/>
        <v>FY</v>
      </c>
      <c r="BP537" s="839" t="str">
        <f t="shared" ca="1" si="1182"/>
        <v>FY</v>
      </c>
      <c r="BQ537" s="839" t="str">
        <f t="shared" ca="1" si="1182"/>
        <v>FY</v>
      </c>
      <c r="BR537" s="859" t="str">
        <f t="shared" ca="1" si="1182"/>
        <v>FY</v>
      </c>
      <c r="BS537" s="317"/>
    </row>
    <row r="538" spans="1:71" s="40" customFormat="1" ht="15">
      <c r="A538" s="858" t="s">
        <v>207</v>
      </c>
      <c r="B538" s="839"/>
      <c r="C538" s="839"/>
      <c r="D538" s="839"/>
      <c r="E538" s="839"/>
      <c r="F538" s="839"/>
      <c r="G538" s="839"/>
      <c r="H538" s="839"/>
      <c r="I538" s="839"/>
      <c r="J538" s="839"/>
      <c r="K538" s="839"/>
      <c r="L538" s="839"/>
      <c r="M538" s="839"/>
      <c r="N538" s="839"/>
      <c r="O538" s="839"/>
      <c r="P538" s="839"/>
      <c r="Q538" s="839"/>
      <c r="R538" s="839"/>
      <c r="S538" s="839"/>
      <c r="T538" s="839"/>
      <c r="U538" s="839"/>
      <c r="V538" s="839"/>
      <c r="W538" s="839"/>
      <c r="X538" s="839"/>
      <c r="Y538" s="839"/>
      <c r="Z538" s="839"/>
      <c r="AA538" s="839"/>
      <c r="AB538" s="839"/>
      <c r="AC538" s="839"/>
      <c r="AD538" s="839"/>
      <c r="AE538" s="839"/>
      <c r="AF538" s="839"/>
      <c r="AG538" s="839"/>
      <c r="AH538" s="839"/>
      <c r="AI538" s="839"/>
      <c r="AJ538" s="839"/>
      <c r="AK538" s="839"/>
      <c r="AL538" s="839"/>
      <c r="AM538" s="839"/>
      <c r="AN538" s="839"/>
      <c r="AO538" s="839"/>
      <c r="AP538" s="839"/>
      <c r="AQ538" s="839"/>
      <c r="AR538" s="839"/>
      <c r="AS538" s="839"/>
      <c r="AT538" s="839"/>
      <c r="AU538" s="839"/>
      <c r="AV538" s="839"/>
      <c r="AW538" s="839"/>
      <c r="AX538" s="839"/>
      <c r="AY538" s="839"/>
      <c r="AZ538" s="839"/>
      <c r="BA538" s="839"/>
      <c r="BB538" s="839"/>
      <c r="BC538" s="839"/>
      <c r="BD538" s="839"/>
      <c r="BE538" s="839"/>
      <c r="BF538" s="839"/>
      <c r="BG538" s="839"/>
      <c r="BH538" s="840"/>
      <c r="BI538" s="839">
        <f ca="1">IF(MO.DataSourceIndex=3,IF(INDEX(MO_SNA_ConsensusEstimatePeriodType,,COLUMN())="ANNUAL",COUNTIF(OFFSET(INDEX(MO_SNA_ConsensusEstimatePeriodType,,1),,,,COLUMN()),"ANNUAL"),IF(INDEX(MO_SNA_ConsensusEstimatePeriodType,,COLUMN())="QUARTERLY",COUNTIF(OFFSET(INDEX(MO_SNA_ConsensusEstimatePeriodType,,1),,,,COLUMN()),"QUARTERLY"),"")),IF(INDEX(MO_SNA_ConsensusEstimatePeriodType,,COLUMN())="FY",COUNTIF(OFFSET(INDEX(MO_SNA_ConsensusEstimatePeriodType,,1),,,,COLUMN()),"FY"),IF(INDEX(MO_SNA_ConsensusEstimatePeriodType,,COLUMN())="FQ",COUNTIF(OFFSET(INDEX(MO_SNA_ConsensusEstimatePeriodType,,1),,,,COLUMN()),"FQ"),COUNTIF(OFFSET(INDEX(MO_SNA_ConsensusEstimatePeriodType,,1),,,,COLUMN()),"FH"))))</f>
        <v>1</v>
      </c>
      <c r="BJ538" s="839">
        <f ca="1" t="shared" si="1183" ref="BJ538">IF(MO.DataSourceIndex=3,IF(INDEX(MO_SNA_ConsensusEstimatePeriodType,,COLUMN())="ANNUAL",COUNTIF(OFFSET(INDEX(MO_SNA_ConsensusEstimatePeriodType,,1),,,,COLUMN()),"ANNUAL"),IF(INDEX(MO_SNA_ConsensusEstimatePeriodType,,COLUMN())="QUARTERLY",COUNTIF(OFFSET(INDEX(MO_SNA_ConsensusEstimatePeriodType,,1),,,,COLUMN()),"QUARTERLY"),"")),IF(INDEX(MO_SNA_ConsensusEstimatePeriodType,,COLUMN())="FY",COUNTIF(OFFSET(INDEX(MO_SNA_ConsensusEstimatePeriodType,,1),,,,COLUMN()),"FY"),IF(INDEX(MO_SNA_ConsensusEstimatePeriodType,,COLUMN())="FQ",COUNTIF(OFFSET(INDEX(MO_SNA_ConsensusEstimatePeriodType,,1),,,,COLUMN()),"FQ"),COUNTIF(OFFSET(INDEX(MO_SNA_ConsensusEstimatePeriodType,,1),,,,COLUMN()),"FH"))))</f>
        <v>1</v>
      </c>
      <c r="BK538" s="839">
        <f ca="1" t="shared" si="1184" ref="BK538:BR538">IF(MO.DataSourceIndex=3,IF(INDEX(MO_SNA_ConsensusEstimatePeriodType,,COLUMN())="ANNUAL",COUNTIF(OFFSET(INDEX(MO_SNA_ConsensusEstimatePeriodType,,1),,,,COLUMN()),"ANNUAL"),IF(INDEX(MO_SNA_ConsensusEstimatePeriodType,,COLUMN())="QUARTERLY",COUNTIF(OFFSET(INDEX(MO_SNA_ConsensusEstimatePeriodType,,1),,,,COLUMN()),"QUARTERLY"),"")),IF(INDEX(MO_SNA_ConsensusEstimatePeriodType,,COLUMN())="FY",COUNTIF(OFFSET(INDEX(MO_SNA_ConsensusEstimatePeriodType,,1),,,,COLUMN()),"FY"),IF(INDEX(MO_SNA_ConsensusEstimatePeriodType,,COLUMN())="FQ",COUNTIF(OFFSET(INDEX(MO_SNA_ConsensusEstimatePeriodType,,1),,,,COLUMN()),"FQ"),COUNTIF(OFFSET(INDEX(MO_SNA_ConsensusEstimatePeriodType,,1),,,,COLUMN()),"FH"))))</f>
        <v>2</v>
      </c>
      <c r="BL538" s="839">
        <f t="shared" ca="1" si="1184"/>
        <v>3</v>
      </c>
      <c r="BM538" s="839">
        <f t="shared" ca="1" si="1184"/>
        <v>4</v>
      </c>
      <c r="BN538" s="839">
        <f t="shared" ca="1" si="1184"/>
        <v>5</v>
      </c>
      <c r="BO538" s="839">
        <f t="shared" ca="1" si="1184"/>
        <v>2</v>
      </c>
      <c r="BP538" s="839">
        <f t="shared" ca="1" si="1184"/>
        <v>3</v>
      </c>
      <c r="BQ538" s="839">
        <f t="shared" ca="1" si="1184"/>
        <v>4</v>
      </c>
      <c r="BR538" s="859">
        <f t="shared" ca="1" si="1184"/>
        <v>5</v>
      </c>
      <c r="BS538" s="317"/>
    </row>
    <row r="539" spans="1:71" ht="15">
      <c r="A539" s="337" t="str">
        <f>$A$206</f>
        <v>Consensus Estimates - Net Revenue</v>
      </c>
      <c r="B539" s="814"/>
      <c r="C539" s="84"/>
      <c r="D539" s="84"/>
      <c r="E539" s="84"/>
      <c r="F539" s="84"/>
      <c r="G539" s="84"/>
      <c r="H539" s="814"/>
      <c r="I539" s="814"/>
      <c r="J539" s="814"/>
      <c r="K539" s="814"/>
      <c r="L539" s="814"/>
      <c r="M539" s="814"/>
      <c r="N539" s="814"/>
      <c r="O539" s="814"/>
      <c r="P539" s="245"/>
      <c r="Q539" s="814"/>
      <c r="R539" s="814"/>
      <c r="S539" s="814"/>
      <c r="T539" s="814"/>
      <c r="U539" s="814"/>
      <c r="V539" s="814"/>
      <c r="W539" s="814"/>
      <c r="X539" s="814"/>
      <c r="Y539" s="814"/>
      <c r="Z539" s="814"/>
      <c r="AA539" s="814"/>
      <c r="AB539" s="814"/>
      <c r="AC539" s="814"/>
      <c r="AD539" s="814"/>
      <c r="AE539" s="814"/>
      <c r="AF539" s="814"/>
      <c r="AG539" s="814"/>
      <c r="AH539" s="814"/>
      <c r="AI539" s="814"/>
      <c r="AJ539" s="814"/>
      <c r="AK539" s="814"/>
      <c r="AL539" s="814"/>
      <c r="AM539" s="814"/>
      <c r="AN539" s="814"/>
      <c r="AO539" s="814"/>
      <c r="AP539" s="814"/>
      <c r="AQ539" s="814"/>
      <c r="AR539" s="814"/>
      <c r="AS539" s="814"/>
      <c r="AT539" s="814"/>
      <c r="AU539" s="814"/>
      <c r="AV539" s="814"/>
      <c r="AW539" s="814"/>
      <c r="AX539" s="814"/>
      <c r="AY539" s="814"/>
      <c r="AZ539" s="814"/>
      <c r="BA539" s="814"/>
      <c r="BB539" s="814"/>
      <c r="BC539" s="814"/>
      <c r="BD539" s="814"/>
      <c r="BE539" s="814"/>
      <c r="BF539" s="814"/>
      <c r="BG539" s="814"/>
      <c r="BH539" s="815"/>
      <c r="BI539" s="832" t="str">
        <f ca="1">IFERROR(CHOOSE(MO.DataSourceIndex,BDP(MO.Ticker.Bloomberg&amp;" EQUITY","BEST_SALES","BEST_FPERIOD_OVERRIDE="&amp;INDEX(tb_ConsensusEstimate,3,COLUMN())&amp;INDEX(tb_ConsensusEstimate,2,COLUMN())),CIQ(MO.Ticker.CapIQ,"IQ_REVENUE_EST","IQ_"&amp;INDEX(tb_ConsensusEstimate,2,COLUMN())&amp;"+"&amp;INDEX(tb_ConsensusEstimate,3,COLUMN())),FDS(MO.Ticker.FactSet,"FE_ESTIMATE(SALES,MEAN,"&amp;INDEX(tb_ConsensusEstimate,2,COLUMN())&amp;",+"&amp;INDEX(tb_ConsensusEstimate,3,COLUMN())&amp;",NOW"&amp;",,,'CURRENCY="&amp;HP.ReportCurrency&amp;"')"),_xll.TR(MO.Ticker.Thomson,"ZAV(TR.RevenueMean(Scale=6))","Period="&amp;INDEX(tb_ConsensusEstimate,2,COLUMN())&amp;INDEX(tb_ConsensusEstimate,3,COLUMN()))),"N/A")</f>
        <v>N/A</v>
      </c>
      <c r="BJ539" s="832" t="str">
        <f ca="1">IFERROR(CHOOSE(MO.DataSourceIndex,BDP(MO.Ticker.Bloomberg&amp;" EQUITY","BEST_SALES","BEST_FPERIOD_OVERRIDE="&amp;INDEX(tb_ConsensusEstimate,3,COLUMN())&amp;INDEX(tb_ConsensusEstimate,2,COLUMN())),CIQ(MO.Ticker.CapIQ,"IQ_REVENUE_EST","IQ_"&amp;INDEX(tb_ConsensusEstimate,2,COLUMN())&amp;"+"&amp;INDEX(tb_ConsensusEstimate,3,COLUMN())),FDS(MO.Ticker.FactSet,"FE_ESTIMATE(SALES,MEAN,"&amp;INDEX(tb_ConsensusEstimate,2,COLUMN())&amp;",+"&amp;INDEX(tb_ConsensusEstimate,3,COLUMN())&amp;",NOW"&amp;",,,'CURRENCY="&amp;HP.ReportCurrency&amp;"')"),_xll.TR(MO.Ticker.Thomson,"ZAV(TR.RevenueMean(Scale=6))","Period="&amp;INDEX(tb_ConsensusEstimate,2,COLUMN())&amp;INDEX(tb_ConsensusEstimate,3,COLUMN()))),"N/A")</f>
        <v>N/A</v>
      </c>
      <c r="BK539" s="832" t="str">
        <f ca="1">IFERROR(CHOOSE(MO.DataSourceIndex,BDP(MO.Ticker.Bloomberg&amp;" EQUITY","BEST_SALES","BEST_FPERIOD_OVERRIDE="&amp;INDEX(tb_ConsensusEstimate,3,COLUMN())&amp;INDEX(tb_ConsensusEstimate,2,COLUMN())),CIQ(MO.Ticker.CapIQ,"IQ_REVENUE_EST","IQ_"&amp;INDEX(tb_ConsensusEstimate,2,COLUMN())&amp;"+"&amp;INDEX(tb_ConsensusEstimate,3,COLUMN())),FDS(MO.Ticker.FactSet,"FE_ESTIMATE(SALES,MEAN,"&amp;INDEX(tb_ConsensusEstimate,2,COLUMN())&amp;",+"&amp;INDEX(tb_ConsensusEstimate,3,COLUMN())&amp;",NOW"&amp;",,,'CURRENCY="&amp;HP.ReportCurrency&amp;"')"),_xll.TR(MO.Ticker.Thomson,"ZAV(TR.RevenueMean(Scale=6))","Period="&amp;INDEX(tb_ConsensusEstimate,2,COLUMN())&amp;INDEX(tb_ConsensusEstimate,3,COLUMN()))),"N/A")</f>
        <v>N/A</v>
      </c>
      <c r="BL539" s="832" t="str">
        <f ca="1">IFERROR(CHOOSE(MO.DataSourceIndex,BDP(MO.Ticker.Bloomberg&amp;" EQUITY","BEST_SALES","BEST_FPERIOD_OVERRIDE="&amp;INDEX(tb_ConsensusEstimate,3,COLUMN())&amp;INDEX(tb_ConsensusEstimate,2,COLUMN())),CIQ(MO.Ticker.CapIQ,"IQ_REVENUE_EST","IQ_"&amp;INDEX(tb_ConsensusEstimate,2,COLUMN())&amp;"+"&amp;INDEX(tb_ConsensusEstimate,3,COLUMN())),FDS(MO.Ticker.FactSet,"FE_ESTIMATE(SALES,MEAN,"&amp;INDEX(tb_ConsensusEstimate,2,COLUMN())&amp;",+"&amp;INDEX(tb_ConsensusEstimate,3,COLUMN())&amp;",NOW"&amp;",,,'CURRENCY="&amp;HP.ReportCurrency&amp;"')"),_xll.TR(MO.Ticker.Thomson,"ZAV(TR.RevenueMean(Scale=6))","Period="&amp;INDEX(tb_ConsensusEstimate,2,COLUMN())&amp;INDEX(tb_ConsensusEstimate,3,COLUMN()))),"N/A")</f>
        <v>N/A</v>
      </c>
      <c r="BM539" s="832" t="str">
        <f ca="1">IFERROR(CHOOSE(MO.DataSourceIndex,BDP(MO.Ticker.Bloomberg&amp;" EQUITY","BEST_SALES","BEST_FPERIOD_OVERRIDE="&amp;INDEX(tb_ConsensusEstimate,3,COLUMN())&amp;INDEX(tb_ConsensusEstimate,2,COLUMN())),CIQ(MO.Ticker.CapIQ,"IQ_REVENUE_EST","IQ_"&amp;INDEX(tb_ConsensusEstimate,2,COLUMN())&amp;"+"&amp;INDEX(tb_ConsensusEstimate,3,COLUMN())),FDS(MO.Ticker.FactSet,"FE_ESTIMATE(SALES,MEAN,"&amp;INDEX(tb_ConsensusEstimate,2,COLUMN())&amp;",+"&amp;INDEX(tb_ConsensusEstimate,3,COLUMN())&amp;",NOW"&amp;",,,'CURRENCY="&amp;HP.ReportCurrency&amp;"')"),_xll.TR(MO.Ticker.Thomson,"ZAV(TR.RevenueMean(Scale=6))","Period="&amp;INDEX(tb_ConsensusEstimate,2,COLUMN())&amp;INDEX(tb_ConsensusEstimate,3,COLUMN()))),"N/A")</f>
        <v>N/A</v>
      </c>
      <c r="BN539" s="832" t="str">
        <f ca="1">IFERROR(CHOOSE(MO.DataSourceIndex,BDP(MO.Ticker.Bloomberg&amp;" EQUITY","BEST_SALES","BEST_FPERIOD_OVERRIDE="&amp;INDEX(tb_ConsensusEstimate,3,COLUMN())&amp;INDEX(tb_ConsensusEstimate,2,COLUMN())),CIQ(MO.Ticker.CapIQ,"IQ_REVENUE_EST","IQ_"&amp;INDEX(tb_ConsensusEstimate,2,COLUMN())&amp;"+"&amp;INDEX(tb_ConsensusEstimate,3,COLUMN())),FDS(MO.Ticker.FactSet,"FE_ESTIMATE(SALES,MEAN,"&amp;INDEX(tb_ConsensusEstimate,2,COLUMN())&amp;",+"&amp;INDEX(tb_ConsensusEstimate,3,COLUMN())&amp;",NOW"&amp;",,,'CURRENCY="&amp;HP.ReportCurrency&amp;"')"),_xll.TR(MO.Ticker.Thomson,"ZAV(TR.RevenueMean(Scale=6))","Period="&amp;INDEX(tb_ConsensusEstimate,2,COLUMN())&amp;INDEX(tb_ConsensusEstimate,3,COLUMN()))),"N/A")</f>
        <v>N/A</v>
      </c>
      <c r="BO539" s="832" t="str">
        <f ca="1">IFERROR(CHOOSE(MO.DataSourceIndex,BDP(MO.Ticker.Bloomberg&amp;" EQUITY","BEST_SALES","BEST_FPERIOD_OVERRIDE="&amp;INDEX(tb_ConsensusEstimate,3,COLUMN())&amp;INDEX(tb_ConsensusEstimate,2,COLUMN())),CIQ(MO.Ticker.CapIQ,"IQ_REVENUE_EST","IQ_"&amp;INDEX(tb_ConsensusEstimate,2,COLUMN())&amp;"+"&amp;INDEX(tb_ConsensusEstimate,3,COLUMN())),FDS(MO.Ticker.FactSet,"FE_ESTIMATE(SALES,MEAN,"&amp;INDEX(tb_ConsensusEstimate,2,COLUMN())&amp;",+"&amp;INDEX(tb_ConsensusEstimate,3,COLUMN())&amp;",NOW"&amp;",,,'CURRENCY="&amp;HP.ReportCurrency&amp;"')"),_xll.TR(MO.Ticker.Thomson,"ZAV(TR.RevenueMean(Scale=6))","Period="&amp;INDEX(tb_ConsensusEstimate,2,COLUMN())&amp;INDEX(tb_ConsensusEstimate,3,COLUMN()))),"N/A")</f>
        <v>N/A</v>
      </c>
      <c r="BP539" s="832" t="str">
        <f ca="1">IFERROR(CHOOSE(MO.DataSourceIndex,BDP(MO.Ticker.Bloomberg&amp;" EQUITY","BEST_SALES","BEST_FPERIOD_OVERRIDE="&amp;INDEX(tb_ConsensusEstimate,3,COLUMN())&amp;INDEX(tb_ConsensusEstimate,2,COLUMN())),CIQ(MO.Ticker.CapIQ,"IQ_REVENUE_EST","IQ_"&amp;INDEX(tb_ConsensusEstimate,2,COLUMN())&amp;"+"&amp;INDEX(tb_ConsensusEstimate,3,COLUMN())),FDS(MO.Ticker.FactSet,"FE_ESTIMATE(SALES,MEAN,"&amp;INDEX(tb_ConsensusEstimate,2,COLUMN())&amp;",+"&amp;INDEX(tb_ConsensusEstimate,3,COLUMN())&amp;",NOW"&amp;",,,'CURRENCY="&amp;HP.ReportCurrency&amp;"')"),_xll.TR(MO.Ticker.Thomson,"ZAV(TR.RevenueMean(Scale=6))","Period="&amp;INDEX(tb_ConsensusEstimate,2,COLUMN())&amp;INDEX(tb_ConsensusEstimate,3,COLUMN()))),"N/A")</f>
        <v>N/A</v>
      </c>
      <c r="BQ539" s="832" t="str">
        <f ca="1">IFERROR(CHOOSE(MO.DataSourceIndex,BDP(MO.Ticker.Bloomberg&amp;" EQUITY","BEST_SALES","BEST_FPERIOD_OVERRIDE="&amp;INDEX(tb_ConsensusEstimate,3,COLUMN())&amp;INDEX(tb_ConsensusEstimate,2,COLUMN())),CIQ(MO.Ticker.CapIQ,"IQ_REVENUE_EST","IQ_"&amp;INDEX(tb_ConsensusEstimate,2,COLUMN())&amp;"+"&amp;INDEX(tb_ConsensusEstimate,3,COLUMN())),FDS(MO.Ticker.FactSet,"FE_ESTIMATE(SALES,MEAN,"&amp;INDEX(tb_ConsensusEstimate,2,COLUMN())&amp;",+"&amp;INDEX(tb_ConsensusEstimate,3,COLUMN())&amp;",NOW"&amp;",,,'CURRENCY="&amp;HP.ReportCurrency&amp;"')"),_xll.TR(MO.Ticker.Thomson,"ZAV(TR.RevenueMean(Scale=6))","Period="&amp;INDEX(tb_ConsensusEstimate,2,COLUMN())&amp;INDEX(tb_ConsensusEstimate,3,COLUMN()))),"N/A")</f>
        <v>N/A</v>
      </c>
      <c r="BR539" s="335" t="str">
        <f ca="1">IFERROR(CHOOSE(MO.DataSourceIndex,BDP(MO.Ticker.Bloomberg&amp;" EQUITY","BEST_SALES","BEST_FPERIOD_OVERRIDE="&amp;INDEX(tb_ConsensusEstimate,3,COLUMN())&amp;INDEX(tb_ConsensusEstimate,2,COLUMN())),CIQ(MO.Ticker.CapIQ,"IQ_REVENUE_EST","IQ_"&amp;INDEX(tb_ConsensusEstimate,2,COLUMN())&amp;"+"&amp;INDEX(tb_ConsensusEstimate,3,COLUMN())),FDS(MO.Ticker.FactSet,"FE_ESTIMATE(SALES,MEAN,"&amp;INDEX(tb_ConsensusEstimate,2,COLUMN())&amp;",+"&amp;INDEX(tb_ConsensusEstimate,3,COLUMN())&amp;",NOW"&amp;",,,'CURRENCY="&amp;HP.ReportCurrency&amp;"')"),_xll.TR(MO.Ticker.Thomson,"ZAV(TR.RevenueMean(Scale=6))","Period="&amp;INDEX(tb_ConsensusEstimate,2,COLUMN())&amp;INDEX(tb_ConsensusEstimate,3,COLUMN()))),"N/A")</f>
        <v>N/A</v>
      </c>
      <c r="BS539" s="318"/>
    </row>
    <row r="540" spans="1:71" ht="15">
      <c r="A540" s="337" t="str">
        <f>$A$213</f>
        <v>Consensus Estimates - EBT</v>
      </c>
      <c r="B540" s="814"/>
      <c r="C540" s="84"/>
      <c r="D540" s="84"/>
      <c r="E540" s="84"/>
      <c r="F540" s="84"/>
      <c r="G540" s="84"/>
      <c r="H540" s="814"/>
      <c r="I540" s="814"/>
      <c r="J540" s="814"/>
      <c r="K540" s="814"/>
      <c r="L540" s="814"/>
      <c r="M540" s="814"/>
      <c r="N540" s="814"/>
      <c r="O540" s="814"/>
      <c r="P540" s="245"/>
      <c r="Q540" s="814"/>
      <c r="R540" s="814"/>
      <c r="S540" s="814"/>
      <c r="T540" s="814"/>
      <c r="U540" s="814"/>
      <c r="V540" s="814"/>
      <c r="W540" s="814"/>
      <c r="X540" s="814"/>
      <c r="Y540" s="814"/>
      <c r="Z540" s="814"/>
      <c r="AA540" s="814"/>
      <c r="AB540" s="814"/>
      <c r="AC540" s="814"/>
      <c r="AD540" s="814"/>
      <c r="AE540" s="814"/>
      <c r="AF540" s="814"/>
      <c r="AG540" s="814"/>
      <c r="AH540" s="814"/>
      <c r="AI540" s="814"/>
      <c r="AJ540" s="814"/>
      <c r="AK540" s="814"/>
      <c r="AL540" s="814"/>
      <c r="AM540" s="814"/>
      <c r="AN540" s="814"/>
      <c r="AO540" s="814"/>
      <c r="AP540" s="814"/>
      <c r="AQ540" s="814"/>
      <c r="AR540" s="814"/>
      <c r="AS540" s="814"/>
      <c r="AT540" s="814"/>
      <c r="AU540" s="814"/>
      <c r="AV540" s="814"/>
      <c r="AW540" s="814"/>
      <c r="AX540" s="814"/>
      <c r="AY540" s="814"/>
      <c r="AZ540" s="814"/>
      <c r="BA540" s="814"/>
      <c r="BB540" s="814"/>
      <c r="BC540" s="814"/>
      <c r="BD540" s="814"/>
      <c r="BE540" s="814"/>
      <c r="BF540" s="814"/>
      <c r="BG540" s="814"/>
      <c r="BH540" s="815"/>
      <c r="BI540" s="832" t="str">
        <f ca="1">IFERROR(CHOOSE(MO.DataSourceIndex,BDP(MO.Ticker.Bloomberg&amp;" EQUITY","BEST_PTP","BEST_FPERIOD_OVERRIDE="&amp;INDEX(tb_ConsensusEstimate,3,COLUMN())&amp;INDEX(tb_ConsensusEstimate,2,COLUMN())),0,FDS(MO.Ticker.FactSet,"FE_ESTIMATE(PTX_INC,MEAN,"&amp;INDEX(tb_ConsensusEstimate,2,COLUMN())&amp;",+"&amp;INDEX(tb_ConsensusEstimate,3,COLUMN())&amp;",NOW"&amp;",,,'CURRENCY="&amp;HP.ReportCurrency&amp;"')"),_xll.TR(MO.Ticker.Thomson,"ZAV(TR.PreTaxProfitMean(Scale=6))","Period="&amp;INDEX(tb_ConsensusEstimate,2,COLUMN())&amp;INDEX(tb_ConsensusEstimate,3,COLUMN()))),"N/A")</f>
        <v>N/A</v>
      </c>
      <c r="BJ540" s="832" t="str">
        <f ca="1">IFERROR(CHOOSE(MO.DataSourceIndex,BDP(MO.Ticker.Bloomberg&amp;" EQUITY","BEST_PTP","BEST_FPERIOD_OVERRIDE="&amp;INDEX(tb_ConsensusEstimate,3,COLUMN())&amp;INDEX(tb_ConsensusEstimate,2,COLUMN())),0,FDS(MO.Ticker.FactSet,"FE_ESTIMATE(PTX_INC,MEAN,"&amp;INDEX(tb_ConsensusEstimate,2,COLUMN())&amp;",+"&amp;INDEX(tb_ConsensusEstimate,3,COLUMN())&amp;",NOW"&amp;",,,'CURRENCY="&amp;HP.ReportCurrency&amp;"')"),_xll.TR(MO.Ticker.Thomson,"ZAV(TR.PreTaxProfitMean(Scale=6))","Period="&amp;INDEX(tb_ConsensusEstimate,2,COLUMN())&amp;INDEX(tb_ConsensusEstimate,3,COLUMN()))),"N/A")</f>
        <v>N/A</v>
      </c>
      <c r="BK540" s="832" t="str">
        <f ca="1">IFERROR(CHOOSE(MO.DataSourceIndex,BDP(MO.Ticker.Bloomberg&amp;" EQUITY","BEST_PTP","BEST_FPERIOD_OVERRIDE="&amp;INDEX(tb_ConsensusEstimate,3,COLUMN())&amp;INDEX(tb_ConsensusEstimate,2,COLUMN())),0,FDS(MO.Ticker.FactSet,"FE_ESTIMATE(PTX_INC,MEAN,"&amp;INDEX(tb_ConsensusEstimate,2,COLUMN())&amp;",+"&amp;INDEX(tb_ConsensusEstimate,3,COLUMN())&amp;",NOW"&amp;",,,'CURRENCY="&amp;HP.ReportCurrency&amp;"')"),_xll.TR(MO.Ticker.Thomson,"ZAV(TR.PreTaxProfitMean(Scale=6))","Period="&amp;INDEX(tb_ConsensusEstimate,2,COLUMN())&amp;INDEX(tb_ConsensusEstimate,3,COLUMN()))),"N/A")</f>
        <v>N/A</v>
      </c>
      <c r="BL540" s="832" t="str">
        <f ca="1">IFERROR(CHOOSE(MO.DataSourceIndex,BDP(MO.Ticker.Bloomberg&amp;" EQUITY","BEST_PTP","BEST_FPERIOD_OVERRIDE="&amp;INDEX(tb_ConsensusEstimate,3,COLUMN())&amp;INDEX(tb_ConsensusEstimate,2,COLUMN())),0,FDS(MO.Ticker.FactSet,"FE_ESTIMATE(PTX_INC,MEAN,"&amp;INDEX(tb_ConsensusEstimate,2,COLUMN())&amp;",+"&amp;INDEX(tb_ConsensusEstimate,3,COLUMN())&amp;",NOW"&amp;",,,'CURRENCY="&amp;HP.ReportCurrency&amp;"')"),_xll.TR(MO.Ticker.Thomson,"ZAV(TR.PreTaxProfitMean(Scale=6))","Period="&amp;INDEX(tb_ConsensusEstimate,2,COLUMN())&amp;INDEX(tb_ConsensusEstimate,3,COLUMN()))),"N/A")</f>
        <v>N/A</v>
      </c>
      <c r="BM540" s="832" t="str">
        <f ca="1">IFERROR(CHOOSE(MO.DataSourceIndex,BDP(MO.Ticker.Bloomberg&amp;" EQUITY","BEST_PTP","BEST_FPERIOD_OVERRIDE="&amp;INDEX(tb_ConsensusEstimate,3,COLUMN())&amp;INDEX(tb_ConsensusEstimate,2,COLUMN())),0,FDS(MO.Ticker.FactSet,"FE_ESTIMATE(PTX_INC,MEAN,"&amp;INDEX(tb_ConsensusEstimate,2,COLUMN())&amp;",+"&amp;INDEX(tb_ConsensusEstimate,3,COLUMN())&amp;",NOW"&amp;",,,'CURRENCY="&amp;HP.ReportCurrency&amp;"')"),_xll.TR(MO.Ticker.Thomson,"ZAV(TR.PreTaxProfitMean(Scale=6))","Period="&amp;INDEX(tb_ConsensusEstimate,2,COLUMN())&amp;INDEX(tb_ConsensusEstimate,3,COLUMN()))),"N/A")</f>
        <v>N/A</v>
      </c>
      <c r="BN540" s="832" t="str">
        <f ca="1">IFERROR(CHOOSE(MO.DataSourceIndex,BDP(MO.Ticker.Bloomberg&amp;" EQUITY","BEST_PTP","BEST_FPERIOD_OVERRIDE="&amp;INDEX(tb_ConsensusEstimate,3,COLUMN())&amp;INDEX(tb_ConsensusEstimate,2,COLUMN())),0,FDS(MO.Ticker.FactSet,"FE_ESTIMATE(PTX_INC,MEAN,"&amp;INDEX(tb_ConsensusEstimate,2,COLUMN())&amp;",+"&amp;INDEX(tb_ConsensusEstimate,3,COLUMN())&amp;",NOW"&amp;",,,'CURRENCY="&amp;HP.ReportCurrency&amp;"')"),_xll.TR(MO.Ticker.Thomson,"ZAV(TR.PreTaxProfitMean(Scale=6))","Period="&amp;INDEX(tb_ConsensusEstimate,2,COLUMN())&amp;INDEX(tb_ConsensusEstimate,3,COLUMN()))),"N/A")</f>
        <v>N/A</v>
      </c>
      <c r="BO540" s="832" t="str">
        <f ca="1">IFERROR(CHOOSE(MO.DataSourceIndex,BDP(MO.Ticker.Bloomberg&amp;" EQUITY","BEST_PTP","BEST_FPERIOD_OVERRIDE="&amp;INDEX(tb_ConsensusEstimate,3,COLUMN())&amp;INDEX(tb_ConsensusEstimate,2,COLUMN())),0,FDS(MO.Ticker.FactSet,"FE_ESTIMATE(PTX_INC,MEAN,"&amp;INDEX(tb_ConsensusEstimate,2,COLUMN())&amp;",+"&amp;INDEX(tb_ConsensusEstimate,3,COLUMN())&amp;",NOW"&amp;",,,'CURRENCY="&amp;HP.ReportCurrency&amp;"')"),_xll.TR(MO.Ticker.Thomson,"ZAV(TR.PreTaxProfitMean(Scale=6))","Period="&amp;INDEX(tb_ConsensusEstimate,2,COLUMN())&amp;INDEX(tb_ConsensusEstimate,3,COLUMN()))),"N/A")</f>
        <v>N/A</v>
      </c>
      <c r="BP540" s="832" t="str">
        <f ca="1">IFERROR(CHOOSE(MO.DataSourceIndex,BDP(MO.Ticker.Bloomberg&amp;" EQUITY","BEST_PTP","BEST_FPERIOD_OVERRIDE="&amp;INDEX(tb_ConsensusEstimate,3,COLUMN())&amp;INDEX(tb_ConsensusEstimate,2,COLUMN())),0,FDS(MO.Ticker.FactSet,"FE_ESTIMATE(PTX_INC,MEAN,"&amp;INDEX(tb_ConsensusEstimate,2,COLUMN())&amp;",+"&amp;INDEX(tb_ConsensusEstimate,3,COLUMN())&amp;",NOW"&amp;",,,'CURRENCY="&amp;HP.ReportCurrency&amp;"')"),_xll.TR(MO.Ticker.Thomson,"ZAV(TR.PreTaxProfitMean(Scale=6))","Period="&amp;INDEX(tb_ConsensusEstimate,2,COLUMN())&amp;INDEX(tb_ConsensusEstimate,3,COLUMN()))),"N/A")</f>
        <v>N/A</v>
      </c>
      <c r="BQ540" s="832" t="str">
        <f ca="1">IFERROR(CHOOSE(MO.DataSourceIndex,BDP(MO.Ticker.Bloomberg&amp;" EQUITY","BEST_PTP","BEST_FPERIOD_OVERRIDE="&amp;INDEX(tb_ConsensusEstimate,3,COLUMN())&amp;INDEX(tb_ConsensusEstimate,2,COLUMN())),0,FDS(MO.Ticker.FactSet,"FE_ESTIMATE(PTX_INC,MEAN,"&amp;INDEX(tb_ConsensusEstimate,2,COLUMN())&amp;",+"&amp;INDEX(tb_ConsensusEstimate,3,COLUMN())&amp;",NOW"&amp;",,,'CURRENCY="&amp;HP.ReportCurrency&amp;"')"),_xll.TR(MO.Ticker.Thomson,"ZAV(TR.PreTaxProfitMean(Scale=6))","Period="&amp;INDEX(tb_ConsensusEstimate,2,COLUMN())&amp;INDEX(tb_ConsensusEstimate,3,COLUMN()))),"N/A")</f>
        <v>N/A</v>
      </c>
      <c r="BR540" s="335" t="str">
        <f ca="1">IFERROR(CHOOSE(MO.DataSourceIndex,BDP(MO.Ticker.Bloomberg&amp;" EQUITY","BEST_PTP","BEST_FPERIOD_OVERRIDE="&amp;INDEX(tb_ConsensusEstimate,3,COLUMN())&amp;INDEX(tb_ConsensusEstimate,2,COLUMN())),0,FDS(MO.Ticker.FactSet,"FE_ESTIMATE(PTX_INC,MEAN,"&amp;INDEX(tb_ConsensusEstimate,2,COLUMN())&amp;",+"&amp;INDEX(tb_ConsensusEstimate,3,COLUMN())&amp;",NOW"&amp;",,,'CURRENCY="&amp;HP.ReportCurrency&amp;"')"),_xll.TR(MO.Ticker.Thomson,"ZAV(TR.PreTaxProfitMean(Scale=6))","Period="&amp;INDEX(tb_ConsensusEstimate,2,COLUMN())&amp;INDEX(tb_ConsensusEstimate,3,COLUMN()))),"N/A")</f>
        <v>N/A</v>
      </c>
      <c r="BS540" s="318"/>
    </row>
    <row r="541" spans="1:71" ht="15">
      <c r="A541" s="337" t="str">
        <f>$A$235</f>
        <v>Consensus Estimates - Adjusted Earnings Per Share - WAD</v>
      </c>
      <c r="B541" s="814"/>
      <c r="C541" s="175"/>
      <c r="D541" s="175"/>
      <c r="E541" s="175"/>
      <c r="F541" s="175"/>
      <c r="G541" s="175"/>
      <c r="H541" s="814"/>
      <c r="I541" s="814"/>
      <c r="J541" s="814"/>
      <c r="K541" s="814"/>
      <c r="L541" s="814"/>
      <c r="M541" s="814"/>
      <c r="N541" s="814"/>
      <c r="O541" s="814"/>
      <c r="P541" s="245"/>
      <c r="Q541" s="814"/>
      <c r="R541" s="814"/>
      <c r="S541" s="814"/>
      <c r="T541" s="814"/>
      <c r="U541" s="814"/>
      <c r="V541" s="814"/>
      <c r="W541" s="814"/>
      <c r="X541" s="814"/>
      <c r="Y541" s="814"/>
      <c r="Z541" s="814"/>
      <c r="AA541" s="814"/>
      <c r="AB541" s="814"/>
      <c r="AC541" s="814"/>
      <c r="AD541" s="814"/>
      <c r="AE541" s="814"/>
      <c r="AF541" s="814"/>
      <c r="AG541" s="814"/>
      <c r="AH541" s="814"/>
      <c r="AI541" s="814"/>
      <c r="AJ541" s="814"/>
      <c r="AK541" s="814"/>
      <c r="AL541" s="814"/>
      <c r="AM541" s="814"/>
      <c r="AN541" s="814"/>
      <c r="AO541" s="814"/>
      <c r="AP541" s="814"/>
      <c r="AQ541" s="814"/>
      <c r="AR541" s="814"/>
      <c r="AS541" s="814"/>
      <c r="AT541" s="814"/>
      <c r="AU541" s="814"/>
      <c r="AV541" s="814"/>
      <c r="AW541" s="814"/>
      <c r="AX541" s="814"/>
      <c r="AY541" s="814"/>
      <c r="AZ541" s="814"/>
      <c r="BA541" s="814"/>
      <c r="BB541" s="814"/>
      <c r="BC541" s="814"/>
      <c r="BD541" s="814"/>
      <c r="BE541" s="814"/>
      <c r="BF541" s="814"/>
      <c r="BG541" s="814"/>
      <c r="BH541" s="815"/>
      <c r="BI541" s="832" t="str">
        <f ca="1">IFERROR(CHOOSE(MO.DataSourceIndex,BDP(MO.Ticker.Bloomberg&amp;" EQUITY","BEST_EPS","BEST_FPERIOD_OVERRIDE="&amp;INDEX(tb_ConsensusEstimate,3,COLUMN())&amp;INDEX(tb_ConsensusEstimate,2,COLUMN())),CIQ(MO.Ticker.CapIQ,"IQ_EPS_NORM_EST","IQ_"&amp;INDEX(tb_ConsensusEstimate,2,COLUMN())&amp;"+"&amp;INDEX(tb_ConsensusEstimate,3,COLUMN())),FDS(MO.Ticker.FactSet,"FE_ESTIMATE(EPS,MEAN,"&amp;INDEX(tb_ConsensusEstimate,2,COLUMN())&amp;",+"&amp;INDEX(tb_ConsensusEstimate,3,COLUMN())&amp;",NOW"&amp;",,,'CURRENCY="&amp;HP.ReportCurrency&amp;"')"),_xll.TR(MO.Ticker.Thomson,"ZAV(TR.EPSMean)","Period="&amp;INDEX(tb_ConsensusEstimate,2,COLUMN())&amp;INDEX(tb_ConsensusEstimate,3,COLUMN()))),"N/A")</f>
        <v>N/A</v>
      </c>
      <c r="BJ541" s="832" t="str">
        <f ca="1">IFERROR(CHOOSE(MO.DataSourceIndex,BDP(MO.Ticker.Bloomberg&amp;" EQUITY","BEST_EPS","BEST_FPERIOD_OVERRIDE="&amp;INDEX(tb_ConsensusEstimate,3,COLUMN())&amp;INDEX(tb_ConsensusEstimate,2,COLUMN())),CIQ(MO.Ticker.CapIQ,"IQ_EPS_NORM_EST","IQ_"&amp;INDEX(tb_ConsensusEstimate,2,COLUMN())&amp;"+"&amp;INDEX(tb_ConsensusEstimate,3,COLUMN())),FDS(MO.Ticker.FactSet,"FE_ESTIMATE(EPS,MEAN,"&amp;INDEX(tb_ConsensusEstimate,2,COLUMN())&amp;",+"&amp;INDEX(tb_ConsensusEstimate,3,COLUMN())&amp;",NOW"&amp;",,,'CURRENCY="&amp;HP.ReportCurrency&amp;"')"),_xll.TR(MO.Ticker.Thomson,"ZAV(TR.EPSMean)","Period="&amp;INDEX(tb_ConsensusEstimate,2,COLUMN())&amp;INDEX(tb_ConsensusEstimate,3,COLUMN()))),"N/A")</f>
        <v>N/A</v>
      </c>
      <c r="BK541" s="832" t="str">
        <f ca="1">IFERROR(CHOOSE(MO.DataSourceIndex,BDP(MO.Ticker.Bloomberg&amp;" EQUITY","BEST_EPS","BEST_FPERIOD_OVERRIDE="&amp;INDEX(tb_ConsensusEstimate,3,COLUMN())&amp;INDEX(tb_ConsensusEstimate,2,COLUMN())),CIQ(MO.Ticker.CapIQ,"IQ_EPS_NORM_EST","IQ_"&amp;INDEX(tb_ConsensusEstimate,2,COLUMN())&amp;"+"&amp;INDEX(tb_ConsensusEstimate,3,COLUMN())),FDS(MO.Ticker.FactSet,"FE_ESTIMATE(EPS,MEAN,"&amp;INDEX(tb_ConsensusEstimate,2,COLUMN())&amp;",+"&amp;INDEX(tb_ConsensusEstimate,3,COLUMN())&amp;",NOW"&amp;",,,'CURRENCY="&amp;HP.ReportCurrency&amp;"')"),_xll.TR(MO.Ticker.Thomson,"ZAV(TR.EPSMean)","Period="&amp;INDEX(tb_ConsensusEstimate,2,COLUMN())&amp;INDEX(tb_ConsensusEstimate,3,COLUMN()))),"N/A")</f>
        <v>N/A</v>
      </c>
      <c r="BL541" s="832" t="str">
        <f ca="1">IFERROR(CHOOSE(MO.DataSourceIndex,BDP(MO.Ticker.Bloomberg&amp;" EQUITY","BEST_EPS","BEST_FPERIOD_OVERRIDE="&amp;INDEX(tb_ConsensusEstimate,3,COLUMN())&amp;INDEX(tb_ConsensusEstimate,2,COLUMN())),CIQ(MO.Ticker.CapIQ,"IQ_EPS_NORM_EST","IQ_"&amp;INDEX(tb_ConsensusEstimate,2,COLUMN())&amp;"+"&amp;INDEX(tb_ConsensusEstimate,3,COLUMN())),FDS(MO.Ticker.FactSet,"FE_ESTIMATE(EPS,MEAN,"&amp;INDEX(tb_ConsensusEstimate,2,COLUMN())&amp;",+"&amp;INDEX(tb_ConsensusEstimate,3,COLUMN())&amp;",NOW"&amp;",,,'CURRENCY="&amp;HP.ReportCurrency&amp;"')"),_xll.TR(MO.Ticker.Thomson,"ZAV(TR.EPSMean)","Period="&amp;INDEX(tb_ConsensusEstimate,2,COLUMN())&amp;INDEX(tb_ConsensusEstimate,3,COLUMN()))),"N/A")</f>
        <v>N/A</v>
      </c>
      <c r="BM541" s="832" t="str">
        <f ca="1">IFERROR(CHOOSE(MO.DataSourceIndex,BDP(MO.Ticker.Bloomberg&amp;" EQUITY","BEST_EPS","BEST_FPERIOD_OVERRIDE="&amp;INDEX(tb_ConsensusEstimate,3,COLUMN())&amp;INDEX(tb_ConsensusEstimate,2,COLUMN())),CIQ(MO.Ticker.CapIQ,"IQ_EPS_NORM_EST","IQ_"&amp;INDEX(tb_ConsensusEstimate,2,COLUMN())&amp;"+"&amp;INDEX(tb_ConsensusEstimate,3,COLUMN())),FDS(MO.Ticker.FactSet,"FE_ESTIMATE(EPS,MEAN,"&amp;INDEX(tb_ConsensusEstimate,2,COLUMN())&amp;",+"&amp;INDEX(tb_ConsensusEstimate,3,COLUMN())&amp;",NOW"&amp;",,,'CURRENCY="&amp;HP.ReportCurrency&amp;"')"),_xll.TR(MO.Ticker.Thomson,"ZAV(TR.EPSMean)","Period="&amp;INDEX(tb_ConsensusEstimate,2,COLUMN())&amp;INDEX(tb_ConsensusEstimate,3,COLUMN()))),"N/A")</f>
        <v>N/A</v>
      </c>
      <c r="BN541" s="832" t="str">
        <f ca="1">IFERROR(CHOOSE(MO.DataSourceIndex,BDP(MO.Ticker.Bloomberg&amp;" EQUITY","BEST_EPS","BEST_FPERIOD_OVERRIDE="&amp;INDEX(tb_ConsensusEstimate,3,COLUMN())&amp;INDEX(tb_ConsensusEstimate,2,COLUMN())),CIQ(MO.Ticker.CapIQ,"IQ_EPS_NORM_EST","IQ_"&amp;INDEX(tb_ConsensusEstimate,2,COLUMN())&amp;"+"&amp;INDEX(tb_ConsensusEstimate,3,COLUMN())),FDS(MO.Ticker.FactSet,"FE_ESTIMATE(EPS,MEAN,"&amp;INDEX(tb_ConsensusEstimate,2,COLUMN())&amp;",+"&amp;INDEX(tb_ConsensusEstimate,3,COLUMN())&amp;",NOW"&amp;",,,'CURRENCY="&amp;HP.ReportCurrency&amp;"')"),_xll.TR(MO.Ticker.Thomson,"ZAV(TR.EPSMean)","Period="&amp;INDEX(tb_ConsensusEstimate,2,COLUMN())&amp;INDEX(tb_ConsensusEstimate,3,COLUMN()))),"N/A")</f>
        <v>N/A</v>
      </c>
      <c r="BO541" s="832" t="str">
        <f ca="1">IFERROR(CHOOSE(MO.DataSourceIndex,BDP(MO.Ticker.Bloomberg&amp;" EQUITY","BEST_EPS","BEST_FPERIOD_OVERRIDE="&amp;INDEX(tb_ConsensusEstimate,3,COLUMN())&amp;INDEX(tb_ConsensusEstimate,2,COLUMN())),CIQ(MO.Ticker.CapIQ,"IQ_EPS_NORM_EST","IQ_"&amp;INDEX(tb_ConsensusEstimate,2,COLUMN())&amp;"+"&amp;INDEX(tb_ConsensusEstimate,3,COLUMN())),FDS(MO.Ticker.FactSet,"FE_ESTIMATE(EPS,MEAN,"&amp;INDEX(tb_ConsensusEstimate,2,COLUMN())&amp;",+"&amp;INDEX(tb_ConsensusEstimate,3,COLUMN())&amp;",NOW"&amp;",,,'CURRENCY="&amp;HP.ReportCurrency&amp;"')"),_xll.TR(MO.Ticker.Thomson,"ZAV(TR.EPSMean)","Period="&amp;INDEX(tb_ConsensusEstimate,2,COLUMN())&amp;INDEX(tb_ConsensusEstimate,3,COLUMN()))),"N/A")</f>
        <v>N/A</v>
      </c>
      <c r="BP541" s="832" t="str">
        <f ca="1">IFERROR(CHOOSE(MO.DataSourceIndex,BDP(MO.Ticker.Bloomberg&amp;" EQUITY","BEST_EPS","BEST_FPERIOD_OVERRIDE="&amp;INDEX(tb_ConsensusEstimate,3,COLUMN())&amp;INDEX(tb_ConsensusEstimate,2,COLUMN())),CIQ(MO.Ticker.CapIQ,"IQ_EPS_NORM_EST","IQ_"&amp;INDEX(tb_ConsensusEstimate,2,COLUMN())&amp;"+"&amp;INDEX(tb_ConsensusEstimate,3,COLUMN())),FDS(MO.Ticker.FactSet,"FE_ESTIMATE(EPS,MEAN,"&amp;INDEX(tb_ConsensusEstimate,2,COLUMN())&amp;",+"&amp;INDEX(tb_ConsensusEstimate,3,COLUMN())&amp;",NOW"&amp;",,,'CURRENCY="&amp;HP.ReportCurrency&amp;"')"),_xll.TR(MO.Ticker.Thomson,"ZAV(TR.EPSMean)","Period="&amp;INDEX(tb_ConsensusEstimate,2,COLUMN())&amp;INDEX(tb_ConsensusEstimate,3,COLUMN()))),"N/A")</f>
        <v>N/A</v>
      </c>
      <c r="BQ541" s="832" t="str">
        <f ca="1">IFERROR(CHOOSE(MO.DataSourceIndex,BDP(MO.Ticker.Bloomberg&amp;" EQUITY","BEST_EPS","BEST_FPERIOD_OVERRIDE="&amp;INDEX(tb_ConsensusEstimate,3,COLUMN())&amp;INDEX(tb_ConsensusEstimate,2,COLUMN())),CIQ(MO.Ticker.CapIQ,"IQ_EPS_NORM_EST","IQ_"&amp;INDEX(tb_ConsensusEstimate,2,COLUMN())&amp;"+"&amp;INDEX(tb_ConsensusEstimate,3,COLUMN())),FDS(MO.Ticker.FactSet,"FE_ESTIMATE(EPS,MEAN,"&amp;INDEX(tb_ConsensusEstimate,2,COLUMN())&amp;",+"&amp;INDEX(tb_ConsensusEstimate,3,COLUMN())&amp;",NOW"&amp;",,,'CURRENCY="&amp;HP.ReportCurrency&amp;"')"),_xll.TR(MO.Ticker.Thomson,"ZAV(TR.EPSMean)","Period="&amp;INDEX(tb_ConsensusEstimate,2,COLUMN())&amp;INDEX(tb_ConsensusEstimate,3,COLUMN()))),"N/A")</f>
        <v>N/A</v>
      </c>
      <c r="BR541" s="335" t="str">
        <f ca="1">IFERROR(CHOOSE(MO.DataSourceIndex,BDP(MO.Ticker.Bloomberg&amp;" EQUITY","BEST_EPS","BEST_FPERIOD_OVERRIDE="&amp;INDEX(tb_ConsensusEstimate,3,COLUMN())&amp;INDEX(tb_ConsensusEstimate,2,COLUMN())),CIQ(MO.Ticker.CapIQ,"IQ_EPS_NORM_EST","IQ_"&amp;INDEX(tb_ConsensusEstimate,2,COLUMN())&amp;"+"&amp;INDEX(tb_ConsensusEstimate,3,COLUMN())),FDS(MO.Ticker.FactSet,"FE_ESTIMATE(EPS,MEAN,"&amp;INDEX(tb_ConsensusEstimate,2,COLUMN())&amp;",+"&amp;INDEX(tb_ConsensusEstimate,3,COLUMN())&amp;",NOW"&amp;",,,'CURRENCY="&amp;HP.ReportCurrency&amp;"')"),_xll.TR(MO.Ticker.Thomson,"ZAV(TR.EPSMean)","Period="&amp;INDEX(tb_ConsensusEstimate,2,COLUMN())&amp;INDEX(tb_ConsensusEstimate,3,COLUMN()))),"N/A")</f>
        <v>N/A</v>
      </c>
      <c r="BS541" s="318"/>
    </row>
    <row r="542" spans="1:71" ht="15">
      <c r="A542" s="337" t="str">
        <f>$A$274</f>
        <v>Consensus Estimates - Book Value per Common Share</v>
      </c>
      <c r="B542" s="814"/>
      <c r="C542" s="85"/>
      <c r="D542" s="85"/>
      <c r="E542" s="85"/>
      <c r="F542" s="85"/>
      <c r="G542" s="85"/>
      <c r="H542" s="814"/>
      <c r="I542" s="814"/>
      <c r="J542" s="814"/>
      <c r="K542" s="814"/>
      <c r="L542" s="814"/>
      <c r="M542" s="814"/>
      <c r="N542" s="814"/>
      <c r="O542" s="814"/>
      <c r="P542" s="245"/>
      <c r="Q542" s="814"/>
      <c r="R542" s="814"/>
      <c r="S542" s="814"/>
      <c r="T542" s="814"/>
      <c r="U542" s="814"/>
      <c r="V542" s="814"/>
      <c r="W542" s="814"/>
      <c r="X542" s="814"/>
      <c r="Y542" s="814"/>
      <c r="Z542" s="814"/>
      <c r="AA542" s="814"/>
      <c r="AB542" s="814"/>
      <c r="AC542" s="814"/>
      <c r="AD542" s="814"/>
      <c r="AE542" s="814"/>
      <c r="AF542" s="814"/>
      <c r="AG542" s="814"/>
      <c r="AH542" s="814"/>
      <c r="AI542" s="814"/>
      <c r="AJ542" s="814"/>
      <c r="AK542" s="814"/>
      <c r="AL542" s="814"/>
      <c r="AM542" s="814"/>
      <c r="AN542" s="814"/>
      <c r="AO542" s="814"/>
      <c r="AP542" s="814"/>
      <c r="AQ542" s="814"/>
      <c r="AR542" s="814"/>
      <c r="AS542" s="814"/>
      <c r="AT542" s="814"/>
      <c r="AU542" s="814"/>
      <c r="AV542" s="814"/>
      <c r="AW542" s="814"/>
      <c r="AX542" s="814"/>
      <c r="AY542" s="814"/>
      <c r="AZ542" s="814"/>
      <c r="BA542" s="814"/>
      <c r="BB542" s="814"/>
      <c r="BC542" s="814"/>
      <c r="BD542" s="814"/>
      <c r="BE542" s="814"/>
      <c r="BF542" s="814"/>
      <c r="BG542" s="814"/>
      <c r="BH542" s="815"/>
      <c r="BI542" s="832" t="str">
        <f ca="1">IFERROR(CHOOSE(MO.DataSourceIndex,BDP(MO.Ticker.Bloomberg&amp;" EQUITY","BEST_BPS","BEST_FPERIOD_OVERRIDE="&amp;INDEX(tb_ConsensusEstimate,3,COLUMN())&amp;INDEX(tb_ConsensusEstimate,2,COLUMN())),CIQ(MO.Ticker.CapIQ,"IQ_BV_SHARE_EST","IQ_"&amp;INDEX(tb_ConsensusEstimate,2,COLUMN())&amp;"+"&amp;INDEX(tb_ConsensusEstimate,3,COLUMN())),FDS(MO.Ticker.FactSet,"FE_ESTIMATE(BPS,MEAN,"&amp;INDEX(tb_ConsensusEstimate,2,COLUMN())&amp;",+"&amp;INDEX(tb_ConsensusEstimate,3,COLUMN())&amp;",NOW"&amp;",,,'CURRENCY="&amp;HP.ReportCurrency&amp;"')"),_xll.TR(MO.Ticker.Thomson,"ZAV(TR.BVPSMean)","Period="&amp;INDEX(tb_ConsensusEstimate,2,COLUMN())&amp;INDEX(tb_ConsensusEstimate,3,COLUMN()))),"N/A")</f>
        <v>N/A</v>
      </c>
      <c r="BJ542" s="832" t="str">
        <f ca="1">IFERROR(CHOOSE(MO.DataSourceIndex,BDP(MO.Ticker.Bloomberg&amp;" EQUITY","BEST_BPS","BEST_FPERIOD_OVERRIDE="&amp;INDEX(tb_ConsensusEstimate,3,COLUMN())&amp;INDEX(tb_ConsensusEstimate,2,COLUMN())),CIQ(MO.Ticker.CapIQ,"IQ_BV_SHARE_EST","IQ_"&amp;INDEX(tb_ConsensusEstimate,2,COLUMN())&amp;"+"&amp;INDEX(tb_ConsensusEstimate,3,COLUMN())),FDS(MO.Ticker.FactSet,"FE_ESTIMATE(BPS,MEAN,"&amp;INDEX(tb_ConsensusEstimate,2,COLUMN())&amp;",+"&amp;INDEX(tb_ConsensusEstimate,3,COLUMN())&amp;",NOW"&amp;",,,'CURRENCY="&amp;HP.ReportCurrency&amp;"')"),_xll.TR(MO.Ticker.Thomson,"ZAV(TR.BVPSMean)","Period="&amp;INDEX(tb_ConsensusEstimate,2,COLUMN())&amp;INDEX(tb_ConsensusEstimate,3,COLUMN()))),"N/A")</f>
        <v>N/A</v>
      </c>
      <c r="BK542" s="832" t="str">
        <f ca="1">IFERROR(CHOOSE(MO.DataSourceIndex,BDP(MO.Ticker.Bloomberg&amp;" EQUITY","BEST_BPS","BEST_FPERIOD_OVERRIDE="&amp;INDEX(tb_ConsensusEstimate,3,COLUMN())&amp;INDEX(tb_ConsensusEstimate,2,COLUMN())),CIQ(MO.Ticker.CapIQ,"IQ_BV_SHARE_EST","IQ_"&amp;INDEX(tb_ConsensusEstimate,2,COLUMN())&amp;"+"&amp;INDEX(tb_ConsensusEstimate,3,COLUMN())),FDS(MO.Ticker.FactSet,"FE_ESTIMATE(BPS,MEAN,"&amp;INDEX(tb_ConsensusEstimate,2,COLUMN())&amp;",+"&amp;INDEX(tb_ConsensusEstimate,3,COLUMN())&amp;",NOW"&amp;",,,'CURRENCY="&amp;HP.ReportCurrency&amp;"')"),_xll.TR(MO.Ticker.Thomson,"ZAV(TR.BVPSMean)","Period="&amp;INDEX(tb_ConsensusEstimate,2,COLUMN())&amp;INDEX(tb_ConsensusEstimate,3,COLUMN()))),"N/A")</f>
        <v>N/A</v>
      </c>
      <c r="BL542" s="832" t="str">
        <f ca="1">IFERROR(CHOOSE(MO.DataSourceIndex,BDP(MO.Ticker.Bloomberg&amp;" EQUITY","BEST_BPS","BEST_FPERIOD_OVERRIDE="&amp;INDEX(tb_ConsensusEstimate,3,COLUMN())&amp;INDEX(tb_ConsensusEstimate,2,COLUMN())),CIQ(MO.Ticker.CapIQ,"IQ_BV_SHARE_EST","IQ_"&amp;INDEX(tb_ConsensusEstimate,2,COLUMN())&amp;"+"&amp;INDEX(tb_ConsensusEstimate,3,COLUMN())),FDS(MO.Ticker.FactSet,"FE_ESTIMATE(BPS,MEAN,"&amp;INDEX(tb_ConsensusEstimate,2,COLUMN())&amp;",+"&amp;INDEX(tb_ConsensusEstimate,3,COLUMN())&amp;",NOW"&amp;",,,'CURRENCY="&amp;HP.ReportCurrency&amp;"')"),_xll.TR(MO.Ticker.Thomson,"ZAV(TR.BVPSMean)","Period="&amp;INDEX(tb_ConsensusEstimate,2,COLUMN())&amp;INDEX(tb_ConsensusEstimate,3,COLUMN()))),"N/A")</f>
        <v>N/A</v>
      </c>
      <c r="BM542" s="832" t="str">
        <f ca="1">IFERROR(CHOOSE(MO.DataSourceIndex,BDP(MO.Ticker.Bloomberg&amp;" EQUITY","BEST_BPS","BEST_FPERIOD_OVERRIDE="&amp;INDEX(tb_ConsensusEstimate,3,COLUMN())&amp;INDEX(tb_ConsensusEstimate,2,COLUMN())),CIQ(MO.Ticker.CapIQ,"IQ_BV_SHARE_EST","IQ_"&amp;INDEX(tb_ConsensusEstimate,2,COLUMN())&amp;"+"&amp;INDEX(tb_ConsensusEstimate,3,COLUMN())),FDS(MO.Ticker.FactSet,"FE_ESTIMATE(BPS,MEAN,"&amp;INDEX(tb_ConsensusEstimate,2,COLUMN())&amp;",+"&amp;INDEX(tb_ConsensusEstimate,3,COLUMN())&amp;",NOW"&amp;",,,'CURRENCY="&amp;HP.ReportCurrency&amp;"')"),_xll.TR(MO.Ticker.Thomson,"ZAV(TR.BVPSMean)","Period="&amp;INDEX(tb_ConsensusEstimate,2,COLUMN())&amp;INDEX(tb_ConsensusEstimate,3,COLUMN()))),"N/A")</f>
        <v>N/A</v>
      </c>
      <c r="BN542" s="832" t="str">
        <f ca="1">IFERROR(CHOOSE(MO.DataSourceIndex,BDP(MO.Ticker.Bloomberg&amp;" EQUITY","BEST_BPS","BEST_FPERIOD_OVERRIDE="&amp;INDEX(tb_ConsensusEstimate,3,COLUMN())&amp;INDEX(tb_ConsensusEstimate,2,COLUMN())),CIQ(MO.Ticker.CapIQ,"IQ_BV_SHARE_EST","IQ_"&amp;INDEX(tb_ConsensusEstimate,2,COLUMN())&amp;"+"&amp;INDEX(tb_ConsensusEstimate,3,COLUMN())),FDS(MO.Ticker.FactSet,"FE_ESTIMATE(BPS,MEAN,"&amp;INDEX(tb_ConsensusEstimate,2,COLUMN())&amp;",+"&amp;INDEX(tb_ConsensusEstimate,3,COLUMN())&amp;",NOW"&amp;",,,'CURRENCY="&amp;HP.ReportCurrency&amp;"')"),_xll.TR(MO.Ticker.Thomson,"ZAV(TR.BVPSMean)","Period="&amp;INDEX(tb_ConsensusEstimate,2,COLUMN())&amp;INDEX(tb_ConsensusEstimate,3,COLUMN()))),"N/A")</f>
        <v>N/A</v>
      </c>
      <c r="BO542" s="832" t="str">
        <f ca="1">IFERROR(CHOOSE(MO.DataSourceIndex,BDP(MO.Ticker.Bloomberg&amp;" EQUITY","BEST_BPS","BEST_FPERIOD_OVERRIDE="&amp;INDEX(tb_ConsensusEstimate,3,COLUMN())&amp;INDEX(tb_ConsensusEstimate,2,COLUMN())),CIQ(MO.Ticker.CapIQ,"IQ_BV_SHARE_EST","IQ_"&amp;INDEX(tb_ConsensusEstimate,2,COLUMN())&amp;"+"&amp;INDEX(tb_ConsensusEstimate,3,COLUMN())),FDS(MO.Ticker.FactSet,"FE_ESTIMATE(BPS,MEAN,"&amp;INDEX(tb_ConsensusEstimate,2,COLUMN())&amp;",+"&amp;INDEX(tb_ConsensusEstimate,3,COLUMN())&amp;",NOW"&amp;",,,'CURRENCY="&amp;HP.ReportCurrency&amp;"')"),_xll.TR(MO.Ticker.Thomson,"ZAV(TR.BVPSMean)","Period="&amp;INDEX(tb_ConsensusEstimate,2,COLUMN())&amp;INDEX(tb_ConsensusEstimate,3,COLUMN()))),"N/A")</f>
        <v>N/A</v>
      </c>
      <c r="BP542" s="832" t="str">
        <f ca="1">IFERROR(CHOOSE(MO.DataSourceIndex,BDP(MO.Ticker.Bloomberg&amp;" EQUITY","BEST_BPS","BEST_FPERIOD_OVERRIDE="&amp;INDEX(tb_ConsensusEstimate,3,COLUMN())&amp;INDEX(tb_ConsensusEstimate,2,COLUMN())),CIQ(MO.Ticker.CapIQ,"IQ_BV_SHARE_EST","IQ_"&amp;INDEX(tb_ConsensusEstimate,2,COLUMN())&amp;"+"&amp;INDEX(tb_ConsensusEstimate,3,COLUMN())),FDS(MO.Ticker.FactSet,"FE_ESTIMATE(BPS,MEAN,"&amp;INDEX(tb_ConsensusEstimate,2,COLUMN())&amp;",+"&amp;INDEX(tb_ConsensusEstimate,3,COLUMN())&amp;",NOW"&amp;",,,'CURRENCY="&amp;HP.ReportCurrency&amp;"')"),_xll.TR(MO.Ticker.Thomson,"ZAV(TR.BVPSMean)","Period="&amp;INDEX(tb_ConsensusEstimate,2,COLUMN())&amp;INDEX(tb_ConsensusEstimate,3,COLUMN()))),"N/A")</f>
        <v>N/A</v>
      </c>
      <c r="BQ542" s="832" t="str">
        <f ca="1">IFERROR(CHOOSE(MO.DataSourceIndex,BDP(MO.Ticker.Bloomberg&amp;" EQUITY","BEST_BPS","BEST_FPERIOD_OVERRIDE="&amp;INDEX(tb_ConsensusEstimate,3,COLUMN())&amp;INDEX(tb_ConsensusEstimate,2,COLUMN())),CIQ(MO.Ticker.CapIQ,"IQ_BV_SHARE_EST","IQ_"&amp;INDEX(tb_ConsensusEstimate,2,COLUMN())&amp;"+"&amp;INDEX(tb_ConsensusEstimate,3,COLUMN())),FDS(MO.Ticker.FactSet,"FE_ESTIMATE(BPS,MEAN,"&amp;INDEX(tb_ConsensusEstimate,2,COLUMN())&amp;",+"&amp;INDEX(tb_ConsensusEstimate,3,COLUMN())&amp;",NOW"&amp;",,,'CURRENCY="&amp;HP.ReportCurrency&amp;"')"),_xll.TR(MO.Ticker.Thomson,"ZAV(TR.BVPSMean)","Period="&amp;INDEX(tb_ConsensusEstimate,2,COLUMN())&amp;INDEX(tb_ConsensusEstimate,3,COLUMN()))),"N/A")</f>
        <v>N/A</v>
      </c>
      <c r="BR542" s="335" t="str">
        <f ca="1">IFERROR(CHOOSE(MO.DataSourceIndex,BDP(MO.Ticker.Bloomberg&amp;" EQUITY","BEST_BPS","BEST_FPERIOD_OVERRIDE="&amp;INDEX(tb_ConsensusEstimate,3,COLUMN())&amp;INDEX(tb_ConsensusEstimate,2,COLUMN())),CIQ(MO.Ticker.CapIQ,"IQ_BV_SHARE_EST","IQ_"&amp;INDEX(tb_ConsensusEstimate,2,COLUMN())&amp;"+"&amp;INDEX(tb_ConsensusEstimate,3,COLUMN())),FDS(MO.Ticker.FactSet,"FE_ESTIMATE(BPS,MEAN,"&amp;INDEX(tb_ConsensusEstimate,2,COLUMN())&amp;",+"&amp;INDEX(tb_ConsensusEstimate,3,COLUMN())&amp;",NOW"&amp;",,,'CURRENCY="&amp;HP.ReportCurrency&amp;"')"),_xll.TR(MO.Ticker.Thomson,"ZAV(TR.BVPSMean)","Period="&amp;INDEX(tb_ConsensusEstimate,2,COLUMN())&amp;INDEX(tb_ConsensusEstimate,3,COLUMN()))),"N/A")</f>
        <v>N/A</v>
      </c>
      <c r="BS542" s="318"/>
    </row>
    <row r="543" spans="1:71" ht="15">
      <c r="A543" s="337" t="str">
        <f>$A$279</f>
        <v>Consensus Estimates - Return on Average Common Equity, %</v>
      </c>
      <c r="B543" s="814"/>
      <c r="C543" s="161"/>
      <c r="D543" s="161"/>
      <c r="E543" s="161"/>
      <c r="F543" s="161"/>
      <c r="G543" s="161"/>
      <c r="H543" s="814"/>
      <c r="I543" s="814"/>
      <c r="J543" s="814"/>
      <c r="K543" s="814"/>
      <c r="L543" s="814"/>
      <c r="M543" s="814"/>
      <c r="N543" s="814"/>
      <c r="O543" s="814"/>
      <c r="P543" s="245"/>
      <c r="Q543" s="814"/>
      <c r="R543" s="814"/>
      <c r="S543" s="814"/>
      <c r="T543" s="814"/>
      <c r="U543" s="814"/>
      <c r="V543" s="814"/>
      <c r="W543" s="814"/>
      <c r="X543" s="814"/>
      <c r="Y543" s="814"/>
      <c r="Z543" s="814"/>
      <c r="AA543" s="814"/>
      <c r="AB543" s="814"/>
      <c r="AC543" s="814"/>
      <c r="AD543" s="814"/>
      <c r="AE543" s="814"/>
      <c r="AF543" s="814"/>
      <c r="AG543" s="814"/>
      <c r="AH543" s="814"/>
      <c r="AI543" s="814"/>
      <c r="AJ543" s="814"/>
      <c r="AK543" s="814"/>
      <c r="AL543" s="814"/>
      <c r="AM543" s="814"/>
      <c r="AN543" s="814"/>
      <c r="AO543" s="814"/>
      <c r="AP543" s="814"/>
      <c r="AQ543" s="814"/>
      <c r="AR543" s="814"/>
      <c r="AS543" s="814"/>
      <c r="AT543" s="814"/>
      <c r="AU543" s="814"/>
      <c r="AV543" s="814"/>
      <c r="AW543" s="814"/>
      <c r="AX543" s="814"/>
      <c r="AY543" s="814"/>
      <c r="AZ543" s="814"/>
      <c r="BA543" s="814"/>
      <c r="BB543" s="814"/>
      <c r="BC543" s="814"/>
      <c r="BD543" s="814"/>
      <c r="BE543" s="814"/>
      <c r="BF543" s="814"/>
      <c r="BG543" s="814"/>
      <c r="BH543" s="815"/>
      <c r="BI543" s="832" t="str">
        <f ca="1">IFERROR(CHOOSE(MO.DataSourceIndex,BDP(MO.Ticker.Bloomberg&amp;" EQUITY","BEST_ROE","BEST_FPERIOD_OVERRIDE="&amp;INDEX(tb_ConsensusEstimate,3,COLUMN())&amp;INDEX(tb_ConsensusEstimate,2,COLUMN())),CIQ(MO.Ticker.CapIQ,"IQ_RETURN_EQUITY_EST","IQ_"&amp;INDEX(tb_ConsensusEstimate,2,COLUMN())&amp;"+"&amp;INDEX(tb_ConsensusEstimate,3,COLUMN())),FDS(MO.Ticker.FactSet,"FE_ESTIMATE(ROAE,MEAN,"&amp;INDEX(tb_ConsensusEstimate,2,COLUMN())&amp;",+"&amp;INDEX(tb_ConsensusEstimate,3,COLUMN())&amp;",NOW,,,'')"),_xll.TR(MO.Ticker.Thomson,"ZAV(TR.ROEMean)","Period="&amp;INDEX(tb_ConsensusEstimate,2,COLUMN())&amp;INDEX(tb_ConsensusEstimate,3,COLUMN())))/100,"N/A")</f>
        <v>N/A</v>
      </c>
      <c r="BJ543" s="832" t="str">
        <f ca="1">IFERROR(CHOOSE(MO.DataSourceIndex,BDP(MO.Ticker.Bloomberg&amp;" EQUITY","BEST_ROE","BEST_FPERIOD_OVERRIDE="&amp;INDEX(tb_ConsensusEstimate,3,COLUMN())&amp;INDEX(tb_ConsensusEstimate,2,COLUMN())),CIQ(MO.Ticker.CapIQ,"IQ_RETURN_EQUITY_EST","IQ_"&amp;INDEX(tb_ConsensusEstimate,2,COLUMN())&amp;"+"&amp;INDEX(tb_ConsensusEstimate,3,COLUMN())),FDS(MO.Ticker.FactSet,"FE_ESTIMATE(ROAE,MEAN,"&amp;INDEX(tb_ConsensusEstimate,2,COLUMN())&amp;",+"&amp;INDEX(tb_ConsensusEstimate,3,COLUMN())&amp;",NOW,,,'')"),_xll.TR(MO.Ticker.Thomson,"ZAV(TR.ROEMean)","Period="&amp;INDEX(tb_ConsensusEstimate,2,COLUMN())&amp;INDEX(tb_ConsensusEstimate,3,COLUMN())))/100,"N/A")</f>
        <v>N/A</v>
      </c>
      <c r="BK543" s="832" t="str">
        <f ca="1">IFERROR(CHOOSE(MO.DataSourceIndex,BDP(MO.Ticker.Bloomberg&amp;" EQUITY","BEST_ROE","BEST_FPERIOD_OVERRIDE="&amp;INDEX(tb_ConsensusEstimate,3,COLUMN())&amp;INDEX(tb_ConsensusEstimate,2,COLUMN())),CIQ(MO.Ticker.CapIQ,"IQ_RETURN_EQUITY_EST","IQ_"&amp;INDEX(tb_ConsensusEstimate,2,COLUMN())&amp;"+"&amp;INDEX(tb_ConsensusEstimate,3,COLUMN())),FDS(MO.Ticker.FactSet,"FE_ESTIMATE(ROAE,MEAN,"&amp;INDEX(tb_ConsensusEstimate,2,COLUMN())&amp;",+"&amp;INDEX(tb_ConsensusEstimate,3,COLUMN())&amp;",NOW,,,'')"),_xll.TR(MO.Ticker.Thomson,"ZAV(TR.ROEMean)","Period="&amp;INDEX(tb_ConsensusEstimate,2,COLUMN())&amp;INDEX(tb_ConsensusEstimate,3,COLUMN())))/100,"N/A")</f>
        <v>N/A</v>
      </c>
      <c r="BL543" s="832" t="str">
        <f ca="1">IFERROR(CHOOSE(MO.DataSourceIndex,BDP(MO.Ticker.Bloomberg&amp;" EQUITY","BEST_ROE","BEST_FPERIOD_OVERRIDE="&amp;INDEX(tb_ConsensusEstimate,3,COLUMN())&amp;INDEX(tb_ConsensusEstimate,2,COLUMN())),CIQ(MO.Ticker.CapIQ,"IQ_RETURN_EQUITY_EST","IQ_"&amp;INDEX(tb_ConsensusEstimate,2,COLUMN())&amp;"+"&amp;INDEX(tb_ConsensusEstimate,3,COLUMN())),FDS(MO.Ticker.FactSet,"FE_ESTIMATE(ROAE,MEAN,"&amp;INDEX(tb_ConsensusEstimate,2,COLUMN())&amp;",+"&amp;INDEX(tb_ConsensusEstimate,3,COLUMN())&amp;",NOW,,,'')"),_xll.TR(MO.Ticker.Thomson,"ZAV(TR.ROEMean)","Period="&amp;INDEX(tb_ConsensusEstimate,2,COLUMN())&amp;INDEX(tb_ConsensusEstimate,3,COLUMN())))/100,"N/A")</f>
        <v>N/A</v>
      </c>
      <c r="BM543" s="832" t="str">
        <f ca="1">IFERROR(CHOOSE(MO.DataSourceIndex,BDP(MO.Ticker.Bloomberg&amp;" EQUITY","BEST_ROE","BEST_FPERIOD_OVERRIDE="&amp;INDEX(tb_ConsensusEstimate,3,COLUMN())&amp;INDEX(tb_ConsensusEstimate,2,COLUMN())),CIQ(MO.Ticker.CapIQ,"IQ_RETURN_EQUITY_EST","IQ_"&amp;INDEX(tb_ConsensusEstimate,2,COLUMN())&amp;"+"&amp;INDEX(tb_ConsensusEstimate,3,COLUMN())),FDS(MO.Ticker.FactSet,"FE_ESTIMATE(ROAE,MEAN,"&amp;INDEX(tb_ConsensusEstimate,2,COLUMN())&amp;",+"&amp;INDEX(tb_ConsensusEstimate,3,COLUMN())&amp;",NOW,,,'')"),_xll.TR(MO.Ticker.Thomson,"ZAV(TR.ROEMean)","Period="&amp;INDEX(tb_ConsensusEstimate,2,COLUMN())&amp;INDEX(tb_ConsensusEstimate,3,COLUMN())))/100,"N/A")</f>
        <v>N/A</v>
      </c>
      <c r="BN543" s="832" t="str">
        <f ca="1">IFERROR(CHOOSE(MO.DataSourceIndex,BDP(MO.Ticker.Bloomberg&amp;" EQUITY","BEST_ROE","BEST_FPERIOD_OVERRIDE="&amp;INDEX(tb_ConsensusEstimate,3,COLUMN())&amp;INDEX(tb_ConsensusEstimate,2,COLUMN())),CIQ(MO.Ticker.CapIQ,"IQ_RETURN_EQUITY_EST","IQ_"&amp;INDEX(tb_ConsensusEstimate,2,COLUMN())&amp;"+"&amp;INDEX(tb_ConsensusEstimate,3,COLUMN())),FDS(MO.Ticker.FactSet,"FE_ESTIMATE(ROAE,MEAN,"&amp;INDEX(tb_ConsensusEstimate,2,COLUMN())&amp;",+"&amp;INDEX(tb_ConsensusEstimate,3,COLUMN())&amp;",NOW,,,'')"),_xll.TR(MO.Ticker.Thomson,"ZAV(TR.ROEMean)","Period="&amp;INDEX(tb_ConsensusEstimate,2,COLUMN())&amp;INDEX(tb_ConsensusEstimate,3,COLUMN())))/100,"N/A")</f>
        <v>N/A</v>
      </c>
      <c r="BO543" s="832" t="str">
        <f ca="1">IFERROR(CHOOSE(MO.DataSourceIndex,BDP(MO.Ticker.Bloomberg&amp;" EQUITY","BEST_ROE","BEST_FPERIOD_OVERRIDE="&amp;INDEX(tb_ConsensusEstimate,3,COLUMN())&amp;INDEX(tb_ConsensusEstimate,2,COLUMN())),CIQ(MO.Ticker.CapIQ,"IQ_RETURN_EQUITY_EST","IQ_"&amp;INDEX(tb_ConsensusEstimate,2,COLUMN())&amp;"+"&amp;INDEX(tb_ConsensusEstimate,3,COLUMN())),FDS(MO.Ticker.FactSet,"FE_ESTIMATE(ROAE,MEAN,"&amp;INDEX(tb_ConsensusEstimate,2,COLUMN())&amp;",+"&amp;INDEX(tb_ConsensusEstimate,3,COLUMN())&amp;",NOW,,,'')"),_xll.TR(MO.Ticker.Thomson,"ZAV(TR.ROEMean)","Period="&amp;INDEX(tb_ConsensusEstimate,2,COLUMN())&amp;INDEX(tb_ConsensusEstimate,3,COLUMN())))/100,"N/A")</f>
        <v>N/A</v>
      </c>
      <c r="BP543" s="832" t="str">
        <f ca="1">IFERROR(CHOOSE(MO.DataSourceIndex,BDP(MO.Ticker.Bloomberg&amp;" EQUITY","BEST_ROE","BEST_FPERIOD_OVERRIDE="&amp;INDEX(tb_ConsensusEstimate,3,COLUMN())&amp;INDEX(tb_ConsensusEstimate,2,COLUMN())),CIQ(MO.Ticker.CapIQ,"IQ_RETURN_EQUITY_EST","IQ_"&amp;INDEX(tb_ConsensusEstimate,2,COLUMN())&amp;"+"&amp;INDEX(tb_ConsensusEstimate,3,COLUMN())),FDS(MO.Ticker.FactSet,"FE_ESTIMATE(ROAE,MEAN,"&amp;INDEX(tb_ConsensusEstimate,2,COLUMN())&amp;",+"&amp;INDEX(tb_ConsensusEstimate,3,COLUMN())&amp;",NOW,,,'')"),_xll.TR(MO.Ticker.Thomson,"ZAV(TR.ROEMean)","Period="&amp;INDEX(tb_ConsensusEstimate,2,COLUMN())&amp;INDEX(tb_ConsensusEstimate,3,COLUMN())))/100,"N/A")</f>
        <v>N/A</v>
      </c>
      <c r="BQ543" s="832" t="str">
        <f ca="1">IFERROR(CHOOSE(MO.DataSourceIndex,BDP(MO.Ticker.Bloomberg&amp;" EQUITY","BEST_ROE","BEST_FPERIOD_OVERRIDE="&amp;INDEX(tb_ConsensusEstimate,3,COLUMN())&amp;INDEX(tb_ConsensusEstimate,2,COLUMN())),CIQ(MO.Ticker.CapIQ,"IQ_RETURN_EQUITY_EST","IQ_"&amp;INDEX(tb_ConsensusEstimate,2,COLUMN())&amp;"+"&amp;INDEX(tb_ConsensusEstimate,3,COLUMN())),FDS(MO.Ticker.FactSet,"FE_ESTIMATE(ROAE,MEAN,"&amp;INDEX(tb_ConsensusEstimate,2,COLUMN())&amp;",+"&amp;INDEX(tb_ConsensusEstimate,3,COLUMN())&amp;",NOW,,,'')"),_xll.TR(MO.Ticker.Thomson,"ZAV(TR.ROEMean)","Period="&amp;INDEX(tb_ConsensusEstimate,2,COLUMN())&amp;INDEX(tb_ConsensusEstimate,3,COLUMN())))/100,"N/A")</f>
        <v>N/A</v>
      </c>
      <c r="BR543" s="335" t="str">
        <f ca="1">IFERROR(CHOOSE(MO.DataSourceIndex,BDP(MO.Ticker.Bloomberg&amp;" EQUITY","BEST_ROE","BEST_FPERIOD_OVERRIDE="&amp;INDEX(tb_ConsensusEstimate,3,COLUMN())&amp;INDEX(tb_ConsensusEstimate,2,COLUMN())),CIQ(MO.Ticker.CapIQ,"IQ_RETURN_EQUITY_EST","IQ_"&amp;INDEX(tb_ConsensusEstimate,2,COLUMN())&amp;"+"&amp;INDEX(tb_ConsensusEstimate,3,COLUMN())),FDS(MO.Ticker.FactSet,"FE_ESTIMATE(ROAE,MEAN,"&amp;INDEX(tb_ConsensusEstimate,2,COLUMN())&amp;",+"&amp;INDEX(tb_ConsensusEstimate,3,COLUMN())&amp;",NOW,,,'')"),_xll.TR(MO.Ticker.Thomson,"ZAV(TR.ROEMean)","Period="&amp;INDEX(tb_ConsensusEstimate,2,COLUMN())&amp;INDEX(tb_ConsensusEstimate,3,COLUMN())))/100,"N/A")</f>
        <v>N/A</v>
      </c>
      <c r="BS543" s="318"/>
    </row>
    <row r="544" spans="1:71" ht="15">
      <c r="A544" s="338"/>
      <c r="B544" s="332"/>
      <c r="C544" s="333"/>
      <c r="D544" s="333"/>
      <c r="E544" s="332"/>
      <c r="F544" s="332"/>
      <c r="G544" s="332"/>
      <c r="H544" s="332"/>
      <c r="I544" s="332"/>
      <c r="J544" s="332"/>
      <c r="K544" s="332"/>
      <c r="L544" s="332"/>
      <c r="M544" s="332"/>
      <c r="N544" s="332"/>
      <c r="O544" s="332"/>
      <c r="P544" s="334"/>
      <c r="Q544" s="332"/>
      <c r="R544" s="332"/>
      <c r="S544" s="332"/>
      <c r="T544" s="332"/>
      <c r="U544" s="332"/>
      <c r="V544" s="332"/>
      <c r="W544" s="332"/>
      <c r="X544" s="332"/>
      <c r="Y544" s="332"/>
      <c r="Z544" s="332"/>
      <c r="AA544" s="332"/>
      <c r="AB544" s="332"/>
      <c r="AC544" s="332"/>
      <c r="AD544" s="332"/>
      <c r="AE544" s="332"/>
      <c r="AF544" s="332"/>
      <c r="AG544" s="332"/>
      <c r="AH544" s="332"/>
      <c r="AI544" s="332"/>
      <c r="AJ544" s="332"/>
      <c r="AK544" s="332"/>
      <c r="AL544" s="332"/>
      <c r="AM544" s="332"/>
      <c r="AN544" s="332"/>
      <c r="AO544" s="332"/>
      <c r="AP544" s="332"/>
      <c r="AQ544" s="332"/>
      <c r="AR544" s="332"/>
      <c r="AS544" s="332"/>
      <c r="AT544" s="332"/>
      <c r="AU544" s="332"/>
      <c r="AV544" s="332"/>
      <c r="AW544" s="332"/>
      <c r="AX544" s="332"/>
      <c r="AY544" s="332"/>
      <c r="AZ544" s="332"/>
      <c r="BA544" s="332"/>
      <c r="BB544" s="332"/>
      <c r="BC544" s="332"/>
      <c r="BD544" s="332"/>
      <c r="BE544" s="332"/>
      <c r="BF544" s="332"/>
      <c r="BG544" s="332"/>
      <c r="BH544" s="557"/>
      <c r="BI544" s="332"/>
      <c r="BJ544" s="332"/>
      <c r="BK544" s="332"/>
      <c r="BL544" s="332"/>
      <c r="BM544" s="332"/>
      <c r="BN544" s="332"/>
      <c r="BO544" s="332"/>
      <c r="BP544" s="332"/>
      <c r="BQ544" s="332"/>
      <c r="BR544" s="336"/>
      <c r="BS544" s="318"/>
    </row>
    <row r="545" spans="1:71" ht="15">
      <c r="A545" s="319"/>
      <c r="B545" s="320"/>
      <c r="C545" s="321"/>
      <c r="D545" s="321"/>
      <c r="E545" s="320"/>
      <c r="F545" s="320"/>
      <c r="G545" s="320"/>
      <c r="H545" s="320"/>
      <c r="I545" s="320"/>
      <c r="J545" s="320"/>
      <c r="K545" s="320"/>
      <c r="L545" s="320"/>
      <c r="M545" s="320"/>
      <c r="N545" s="320"/>
      <c r="O545" s="320"/>
      <c r="P545" s="322"/>
      <c r="Q545" s="320"/>
      <c r="R545" s="320"/>
      <c r="S545" s="320"/>
      <c r="T545" s="320"/>
      <c r="U545" s="320"/>
      <c r="V545" s="320"/>
      <c r="W545" s="320"/>
      <c r="X545" s="320"/>
      <c r="Y545" s="320"/>
      <c r="Z545" s="320"/>
      <c r="AA545" s="320"/>
      <c r="AB545" s="320"/>
      <c r="AC545" s="320"/>
      <c r="AD545" s="320"/>
      <c r="AE545" s="320"/>
      <c r="AF545" s="320"/>
      <c r="AG545" s="320"/>
      <c r="AH545" s="320"/>
      <c r="AI545" s="320"/>
      <c r="AJ545" s="320"/>
      <c r="AK545" s="320"/>
      <c r="AL545" s="320"/>
      <c r="AM545" s="320"/>
      <c r="AN545" s="320"/>
      <c r="AO545" s="320"/>
      <c r="AP545" s="320"/>
      <c r="AQ545" s="320"/>
      <c r="AR545" s="320"/>
      <c r="AS545" s="320"/>
      <c r="AT545" s="320"/>
      <c r="AU545" s="320"/>
      <c r="AV545" s="320"/>
      <c r="AW545" s="320"/>
      <c r="AX545" s="320"/>
      <c r="AY545" s="320"/>
      <c r="AZ545" s="320"/>
      <c r="BA545" s="320"/>
      <c r="BB545" s="320"/>
      <c r="BC545" s="320"/>
      <c r="BD545" s="320"/>
      <c r="BE545" s="320"/>
      <c r="BF545" s="320"/>
      <c r="BG545" s="320"/>
      <c r="BH545" s="558"/>
      <c r="BI545" s="320"/>
      <c r="BJ545" s="320"/>
      <c r="BK545" s="320"/>
      <c r="BL545" s="320"/>
      <c r="BM545" s="320"/>
      <c r="BN545" s="320"/>
      <c r="BO545" s="320"/>
      <c r="BP545" s="320"/>
      <c r="BQ545" s="320"/>
      <c r="BR545" s="320"/>
      <c r="BS545" s="816"/>
    </row>
    <row r="546" spans="1:71" ht="15">
      <c r="A546" s="279" t="s">
        <v>208</v>
      </c>
      <c r="B546" s="275"/>
      <c r="C546" s="276"/>
      <c r="D546" s="276"/>
      <c r="E546" s="275"/>
      <c r="F546" s="275"/>
      <c r="G546" s="275"/>
      <c r="H546" s="275"/>
      <c r="I546" s="275"/>
      <c r="J546" s="275"/>
      <c r="K546" s="275"/>
      <c r="L546" s="275"/>
      <c r="M546" s="275"/>
      <c r="N546" s="275"/>
      <c r="O546" s="275"/>
      <c r="P546" s="277"/>
      <c r="Q546" s="275"/>
      <c r="R546" s="275"/>
      <c r="S546" s="275"/>
      <c r="T546" s="275"/>
      <c r="U546" s="275"/>
      <c r="V546" s="275"/>
      <c r="W546" s="275"/>
      <c r="X546" s="275"/>
      <c r="Y546" s="275"/>
      <c r="Z546" s="275"/>
      <c r="AA546" s="275"/>
      <c r="AB546" s="275"/>
      <c r="AC546" s="275"/>
      <c r="AD546" s="275"/>
      <c r="AE546" s="275"/>
      <c r="AF546" s="275"/>
      <c r="AG546" s="275"/>
      <c r="AH546" s="275"/>
      <c r="AI546" s="275"/>
      <c r="AJ546" s="275"/>
      <c r="AK546" s="275"/>
      <c r="AL546" s="275"/>
      <c r="AM546" s="275"/>
      <c r="AN546" s="275"/>
      <c r="AO546" s="275"/>
      <c r="AP546" s="275"/>
      <c r="AQ546" s="275"/>
      <c r="AR546" s="275"/>
      <c r="AS546" s="275"/>
      <c r="AT546" s="275"/>
      <c r="AU546" s="275"/>
      <c r="AV546" s="275"/>
      <c r="AW546" s="275"/>
      <c r="AX546" s="275"/>
      <c r="AY546" s="275"/>
      <c r="AZ546" s="275"/>
      <c r="BA546" s="275"/>
      <c r="BB546" s="275"/>
      <c r="BC546" s="275"/>
      <c r="BD546" s="275"/>
      <c r="BE546" s="275"/>
      <c r="BF546" s="275"/>
      <c r="BG546" s="275"/>
      <c r="BH546" s="559"/>
      <c r="BI546" s="275"/>
      <c r="BJ546" s="275"/>
      <c r="BK546" s="275"/>
      <c r="BL546" s="275"/>
      <c r="BM546" s="275"/>
      <c r="BN546" s="275"/>
      <c r="BO546" s="275"/>
      <c r="BP546" s="275"/>
      <c r="BQ546" s="275"/>
      <c r="BR546" s="278"/>
      <c r="BS546" s="318"/>
    </row>
    <row r="547" spans="1:71" ht="15">
      <c r="A547" s="280" t="s">
        <v>209</v>
      </c>
      <c r="B547" s="814"/>
      <c r="C547" s="575">
        <f t="shared" si="1185" ref="C547:AQ547">INDEX(MO_Common_QEndDate,0,COLUMN())-INDEX(MO_Common_FPDays,0,COLUMN())+1</f>
        <v>39814</v>
      </c>
      <c r="D547" s="575">
        <f t="shared" si="1185"/>
        <v>40179</v>
      </c>
      <c r="E547" s="576">
        <f t="shared" si="1185"/>
        <v>40544</v>
      </c>
      <c r="F547" s="576">
        <f t="shared" si="1185"/>
        <v>40909</v>
      </c>
      <c r="G547" s="576">
        <f t="shared" si="1185"/>
        <v>41275</v>
      </c>
      <c r="H547" s="576">
        <f t="shared" si="1185"/>
        <v>41640</v>
      </c>
      <c r="I547" s="576">
        <f t="shared" si="1185"/>
        <v>41730</v>
      </c>
      <c r="J547" s="576">
        <f t="shared" si="1185"/>
        <v>41821</v>
      </c>
      <c r="K547" s="576">
        <f t="shared" si="1185"/>
        <v>41913</v>
      </c>
      <c r="L547" s="576">
        <f t="shared" si="1185"/>
        <v>41640</v>
      </c>
      <c r="M547" s="576">
        <f t="shared" si="1185"/>
        <v>42005</v>
      </c>
      <c r="N547" s="576">
        <f t="shared" si="1185"/>
        <v>42095</v>
      </c>
      <c r="O547" s="576">
        <f t="shared" si="1185"/>
        <v>42186</v>
      </c>
      <c r="P547" s="576">
        <f t="shared" si="1185"/>
        <v>42278</v>
      </c>
      <c r="Q547" s="576">
        <f t="shared" si="1185"/>
        <v>42005</v>
      </c>
      <c r="R547" s="576">
        <f t="shared" si="1185"/>
        <v>42370</v>
      </c>
      <c r="S547" s="576">
        <f t="shared" si="1185"/>
        <v>42461</v>
      </c>
      <c r="T547" s="576">
        <f t="shared" si="1185"/>
        <v>42552</v>
      </c>
      <c r="U547" s="576">
        <f t="shared" si="1185"/>
        <v>42644</v>
      </c>
      <c r="V547" s="576">
        <f t="shared" si="1185"/>
        <v>42370</v>
      </c>
      <c r="W547" s="576">
        <f t="shared" si="1185"/>
        <v>42736</v>
      </c>
      <c r="X547" s="576">
        <f t="shared" si="1185"/>
        <v>42826</v>
      </c>
      <c r="Y547" s="576">
        <f t="shared" si="1185"/>
        <v>42917</v>
      </c>
      <c r="Z547" s="576">
        <f t="shared" si="1185"/>
        <v>43009</v>
      </c>
      <c r="AA547" s="576">
        <f t="shared" si="1185"/>
        <v>42736</v>
      </c>
      <c r="AB547" s="576">
        <f t="shared" si="1185"/>
        <v>43101</v>
      </c>
      <c r="AC547" s="576">
        <f t="shared" si="1185"/>
        <v>43191</v>
      </c>
      <c r="AD547" s="576">
        <f t="shared" si="1185"/>
        <v>43282</v>
      </c>
      <c r="AE547" s="576">
        <f t="shared" si="1185"/>
        <v>43374</v>
      </c>
      <c r="AF547" s="576">
        <f t="shared" si="1185"/>
        <v>43101</v>
      </c>
      <c r="AG547" s="576">
        <f t="shared" si="1185"/>
        <v>43466</v>
      </c>
      <c r="AH547" s="576">
        <f t="shared" si="1185"/>
        <v>43556</v>
      </c>
      <c r="AI547" s="576">
        <f t="shared" si="1185"/>
        <v>43647</v>
      </c>
      <c r="AJ547" s="576">
        <f t="shared" si="1185"/>
        <v>43739</v>
      </c>
      <c r="AK547" s="576">
        <f t="shared" si="1185"/>
        <v>43466</v>
      </c>
      <c r="AL547" s="576">
        <f t="shared" si="1185"/>
        <v>43831</v>
      </c>
      <c r="AM547" s="576">
        <f t="shared" si="1185"/>
        <v>43922</v>
      </c>
      <c r="AN547" s="576">
        <f t="shared" si="1185"/>
        <v>44013</v>
      </c>
      <c r="AO547" s="576">
        <f t="shared" si="1185"/>
        <v>44105</v>
      </c>
      <c r="AP547" s="576">
        <f t="shared" si="1185"/>
        <v>43831</v>
      </c>
      <c r="AQ547" s="576">
        <f t="shared" si="1185"/>
        <v>44197</v>
      </c>
      <c r="AR547" s="576">
        <f t="shared" si="1186" ref="AR547:AW547">INDEX(MO_Common_QEndDate,0,COLUMN())-INDEX(MO_Common_FPDays,0,COLUMN())+1</f>
        <v>44287</v>
      </c>
      <c r="AS547" s="576">
        <f t="shared" si="1186"/>
        <v>44378</v>
      </c>
      <c r="AT547" s="576">
        <f t="shared" si="1186"/>
        <v>44470</v>
      </c>
      <c r="AU547" s="576">
        <f t="shared" si="1186"/>
        <v>44197</v>
      </c>
      <c r="AV547" s="576">
        <f t="shared" si="1186"/>
        <v>44562</v>
      </c>
      <c r="AW547" s="576">
        <f t="shared" si="1186"/>
        <v>44652</v>
      </c>
      <c r="AX547" s="576">
        <f t="shared" si="1187" ref="AX547:BJ547">INDEX(MO_Common_QEndDate,0,COLUMN())-INDEX(MO_Common_FPDays,0,COLUMN())+1</f>
        <v>44743</v>
      </c>
      <c r="AY547" s="576">
        <f t="shared" si="1187"/>
        <v>44835</v>
      </c>
      <c r="AZ547" s="576">
        <f t="shared" si="1187"/>
        <v>44562</v>
      </c>
      <c r="BA547" s="576">
        <f t="shared" si="1188" ref="BA547:BI547">INDEX(MO_Common_QEndDate,0,COLUMN())-INDEX(MO_Common_FPDays,0,COLUMN())+1</f>
        <v>44927</v>
      </c>
      <c r="BB547" s="576">
        <f t="shared" si="1188"/>
        <v>45017</v>
      </c>
      <c r="BC547" s="576">
        <f t="shared" si="1188"/>
        <v>45108</v>
      </c>
      <c r="BD547" s="576">
        <f t="shared" si="1188"/>
        <v>45200</v>
      </c>
      <c r="BE547" s="576">
        <f t="shared" si="1188"/>
        <v>44927</v>
      </c>
      <c r="BF547" s="576">
        <f>INDEX(MO_Common_QEndDate,0,COLUMN())-INDEX(MO_Common_FPDays,0,COLUMN())+1</f>
        <v>45292</v>
      </c>
      <c r="BG547" s="576">
        <f>INDEX(MO_Common_QEndDate,0,COLUMN())-INDEX(MO_Common_FPDays,0,COLUMN())+1</f>
        <v>45383</v>
      </c>
      <c r="BH547" s="577">
        <f>INDEX(MO_Common_QEndDate,0,COLUMN())-INDEX(MO_Common_FPDays,0,COLUMN())+1</f>
        <v>45474</v>
      </c>
      <c r="BI547" s="576">
        <f t="shared" si="1188"/>
        <v>45566</v>
      </c>
      <c r="BJ547" s="576">
        <f t="shared" si="1187"/>
        <v>45292</v>
      </c>
      <c r="BK547" s="576">
        <f t="shared" si="1189" ref="BK547:BR547">INDEX(MO_Common_QEndDate,0,COLUMN())-INDEX(MO_Common_FPDays,0,COLUMN())+1</f>
        <v>45658</v>
      </c>
      <c r="BL547" s="576">
        <f t="shared" si="1189"/>
        <v>45748</v>
      </c>
      <c r="BM547" s="576">
        <f t="shared" si="1189"/>
        <v>45839</v>
      </c>
      <c r="BN547" s="576">
        <f t="shared" si="1189"/>
        <v>45931</v>
      </c>
      <c r="BO547" s="576">
        <f t="shared" si="1189"/>
        <v>45658</v>
      </c>
      <c r="BP547" s="576">
        <f t="shared" si="1189"/>
        <v>46023</v>
      </c>
      <c r="BQ547" s="576">
        <f t="shared" si="1189"/>
        <v>46388</v>
      </c>
      <c r="BR547" s="578">
        <f t="shared" si="1189"/>
        <v>46753</v>
      </c>
      <c r="BS547" s="318"/>
    </row>
    <row r="548" spans="1:71" ht="15">
      <c r="A548" s="280" t="s">
        <v>210</v>
      </c>
      <c r="B548" s="814"/>
      <c r="C548" s="575" t="b">
        <f>TRUE</f>
        <v>1</v>
      </c>
      <c r="D548" s="575" t="b">
        <f>TRUE</f>
        <v>1</v>
      </c>
      <c r="E548" s="576" t="b">
        <f>TRUE</f>
        <v>1</v>
      </c>
      <c r="F548" s="576" t="b">
        <f>TRUE</f>
        <v>1</v>
      </c>
      <c r="G548" s="576" t="b">
        <f>TRUE</f>
        <v>1</v>
      </c>
      <c r="H548" s="576" t="b">
        <f>TRUE</f>
        <v>1</v>
      </c>
      <c r="I548" s="576" t="b">
        <f>TRUE</f>
        <v>1</v>
      </c>
      <c r="J548" s="576" t="b">
        <f>TRUE</f>
        <v>1</v>
      </c>
      <c r="K548" s="576" t="b">
        <f>TRUE</f>
        <v>1</v>
      </c>
      <c r="L548" s="576" t="b">
        <f>TRUE</f>
        <v>1</v>
      </c>
      <c r="M548" s="576" t="b">
        <f>TRUE</f>
        <v>1</v>
      </c>
      <c r="N548" s="576" t="b">
        <f>TRUE</f>
        <v>1</v>
      </c>
      <c r="O548" s="576" t="b">
        <f>TRUE</f>
        <v>1</v>
      </c>
      <c r="P548" s="576" t="b">
        <f>TRUE</f>
        <v>1</v>
      </c>
      <c r="Q548" s="576" t="b">
        <f>TRUE</f>
        <v>1</v>
      </c>
      <c r="R548" s="576" t="b">
        <f>TRUE</f>
        <v>1</v>
      </c>
      <c r="S548" s="576" t="b">
        <f>TRUE</f>
        <v>1</v>
      </c>
      <c r="T548" s="576" t="b">
        <f>TRUE</f>
        <v>1</v>
      </c>
      <c r="U548" s="576" t="b">
        <f>TRUE</f>
        <v>1</v>
      </c>
      <c r="V548" s="576" t="b">
        <f>TRUE</f>
        <v>1</v>
      </c>
      <c r="W548" s="576" t="b">
        <f>TRUE</f>
        <v>1</v>
      </c>
      <c r="X548" s="576" t="b">
        <f>TRUE</f>
        <v>1</v>
      </c>
      <c r="Y548" s="576" t="b">
        <f>TRUE</f>
        <v>1</v>
      </c>
      <c r="Z548" s="576" t="b">
        <f>TRUE</f>
        <v>1</v>
      </c>
      <c r="AA548" s="576" t="b">
        <f>TRUE</f>
        <v>1</v>
      </c>
      <c r="AB548" s="576" t="b">
        <f>TRUE</f>
        <v>1</v>
      </c>
      <c r="AC548" s="576" t="b">
        <f>TRUE</f>
        <v>1</v>
      </c>
      <c r="AD548" s="576" t="b">
        <f>TRUE</f>
        <v>1</v>
      </c>
      <c r="AE548" s="576" t="b">
        <f>TRUE</f>
        <v>1</v>
      </c>
      <c r="AF548" s="576" t="b">
        <f>TRUE</f>
        <v>1</v>
      </c>
      <c r="AG548" s="576" t="b">
        <f>TRUE</f>
        <v>1</v>
      </c>
      <c r="AH548" s="576" t="b">
        <f>TRUE</f>
        <v>1</v>
      </c>
      <c r="AI548" s="576" t="b">
        <f>TRUE</f>
        <v>1</v>
      </c>
      <c r="AJ548" s="576" t="b">
        <f>TRUE</f>
        <v>1</v>
      </c>
      <c r="AK548" s="576" t="b">
        <f>TRUE</f>
        <v>1</v>
      </c>
      <c r="AL548" s="576" t="b">
        <f>TRUE</f>
        <v>1</v>
      </c>
      <c r="AM548" s="576" t="b">
        <f>TRUE</f>
        <v>1</v>
      </c>
      <c r="AN548" s="576" t="b">
        <f>TRUE</f>
        <v>1</v>
      </c>
      <c r="AO548" s="576" t="b">
        <f>TRUE</f>
        <v>1</v>
      </c>
      <c r="AP548" s="576" t="b">
        <f>TRUE</f>
        <v>1</v>
      </c>
      <c r="AQ548" s="576" t="b">
        <f>TRUE</f>
        <v>1</v>
      </c>
      <c r="AR548" s="576" t="b">
        <f>TRUE</f>
        <v>1</v>
      </c>
      <c r="AS548" s="576" t="b">
        <f>TRUE</f>
        <v>1</v>
      </c>
      <c r="AT548" s="576" t="b">
        <f>TRUE</f>
        <v>1</v>
      </c>
      <c r="AU548" s="576" t="b">
        <f>TRUE</f>
        <v>1</v>
      </c>
      <c r="AV548" s="576" t="b">
        <f>TRUE</f>
        <v>1</v>
      </c>
      <c r="AW548" s="576" t="b">
        <f>TRUE</f>
        <v>1</v>
      </c>
      <c r="AX548" s="576" t="b">
        <f>TRUE</f>
        <v>1</v>
      </c>
      <c r="AY548" s="576" t="b">
        <f>TRUE</f>
        <v>1</v>
      </c>
      <c r="AZ548" s="576" t="b">
        <f>TRUE</f>
        <v>1</v>
      </c>
      <c r="BA548" s="576" t="b">
        <f>TRUE</f>
        <v>1</v>
      </c>
      <c r="BB548" s="576" t="b">
        <f>TRUE</f>
        <v>1</v>
      </c>
      <c r="BC548" s="576" t="b">
        <f>TRUE</f>
        <v>1</v>
      </c>
      <c r="BD548" s="576" t="b">
        <f>TRUE</f>
        <v>1</v>
      </c>
      <c r="BE548" s="576" t="b">
        <f>TRUE</f>
        <v>1</v>
      </c>
      <c r="BF548" s="576" t="b">
        <f>TRUE</f>
        <v>1</v>
      </c>
      <c r="BG548" s="576" t="b">
        <f>TRUE</f>
        <v>1</v>
      </c>
      <c r="BH548" s="577" t="b">
        <f>TRUE</f>
        <v>1</v>
      </c>
      <c r="BI548" s="576" t="b">
        <f>FALSE</f>
        <v>0</v>
      </c>
      <c r="BJ548" s="576" t="b">
        <f>FALSE</f>
        <v>0</v>
      </c>
      <c r="BK548" s="576" t="b">
        <f>FALSE</f>
        <v>0</v>
      </c>
      <c r="BL548" s="576" t="b">
        <f>FALSE</f>
        <v>0</v>
      </c>
      <c r="BM548" s="576" t="b">
        <f>FALSE</f>
        <v>0</v>
      </c>
      <c r="BN548" s="576" t="b">
        <f>FALSE</f>
        <v>0</v>
      </c>
      <c r="BO548" s="576" t="b">
        <f>FALSE</f>
        <v>0</v>
      </c>
      <c r="BP548" s="576" t="b">
        <f>FALSE</f>
        <v>0</v>
      </c>
      <c r="BQ548" s="576" t="b">
        <f>FALSE</f>
        <v>0</v>
      </c>
      <c r="BR548" s="578" t="b">
        <f>FALSE</f>
        <v>0</v>
      </c>
      <c r="BS548" s="318"/>
    </row>
    <row r="549" spans="1:71" s="285" customFormat="1" ht="15">
      <c r="A549" s="281" t="str">
        <f ca="1">"Stock High: "&amp;IF(OR(MO.RealTimeStockPriceToggle=FALSE,VLOOKUP(MO.DataSourceName,MO_SPT_StockHigh_Sources,COLUMN()+2,FALSE)="N/A"),"Real-Time Off Source",MO.DataSourceName)</f>
        <v>Stock High: Real-Time Off Source</v>
      </c>
      <c r="B549" s="282"/>
      <c r="C549" s="283">
        <f ca="1" t="shared" si="1190" ref="C549:AQ549">IF(OR(MO.RealTimeStockPriceToggle=FALSE,VLOOKUP(MO.DataSourceName,MO_SPT_StockHigh_Sources,COLUMN(),FALSE)="N/A"),VLOOKUP("Real-Time Off Source",MO_SPT_StockHigh_Sources,COLUMN(),FALSE),VLOOKUP(MO.DataSourceName,MO_SPT_StockHigh_Sources,COLUMN(),FALSE))</f>
        <v>23.875</v>
      </c>
      <c r="D549" s="283">
        <f t="shared" ca="1" si="1190"/>
        <v>29.155</v>
      </c>
      <c r="E549" s="282">
        <f t="shared" ca="1" si="1190"/>
        <v>29.77</v>
      </c>
      <c r="F549" s="282">
        <f t="shared" ca="1" si="1190"/>
        <v>27.465</v>
      </c>
      <c r="G549" s="282">
        <f t="shared" ca="1" si="1190"/>
        <v>33.81</v>
      </c>
      <c r="H549" s="282">
        <f t="shared" ca="1" si="1190"/>
        <v>33.345</v>
      </c>
      <c r="I549" s="282">
        <f t="shared" ca="1" si="1190"/>
        <v>32.235</v>
      </c>
      <c r="J549" s="282">
        <f t="shared" ca="1" si="1190"/>
        <v>32.10</v>
      </c>
      <c r="K549" s="282">
        <f t="shared" ca="1" si="1190"/>
        <v>31.23</v>
      </c>
      <c r="L549" s="282">
        <f t="shared" ca="1" si="1190"/>
        <v>33.345</v>
      </c>
      <c r="M549" s="282">
        <f t="shared" ca="1" si="1190"/>
        <v>32.31</v>
      </c>
      <c r="N549" s="282">
        <f t="shared" ca="1" si="1190"/>
        <v>32.549999999999997</v>
      </c>
      <c r="O549" s="282">
        <f t="shared" ca="1" si="1190"/>
        <v>32.494999999999997</v>
      </c>
      <c r="P549" s="282">
        <f t="shared" ca="1" si="1190"/>
        <v>33.265</v>
      </c>
      <c r="Q549" s="282">
        <f t="shared" ca="1" si="1190"/>
        <v>33.265</v>
      </c>
      <c r="R549" s="282">
        <f t="shared" ca="1" si="1190"/>
        <v>32.165</v>
      </c>
      <c r="S549" s="282">
        <f t="shared" ca="1" si="1190"/>
        <v>36.085</v>
      </c>
      <c r="T549" s="282">
        <f t="shared" ca="1" si="1190"/>
        <v>37.25</v>
      </c>
      <c r="U549" s="282">
        <f t="shared" ca="1" si="1190"/>
        <v>36.975</v>
      </c>
      <c r="V549" s="282">
        <f t="shared" ca="1" si="1190"/>
        <v>37.25</v>
      </c>
      <c r="W549" s="282">
        <f t="shared" ca="1" si="1190"/>
        <v>36.665</v>
      </c>
      <c r="X549" s="282">
        <f t="shared" ca="1" si="1190"/>
        <v>39.93</v>
      </c>
      <c r="Y549" s="282">
        <f t="shared" ca="1" si="1190"/>
        <v>42.255</v>
      </c>
      <c r="Z549" s="282">
        <f t="shared" ca="1" si="1190"/>
        <v>44.905</v>
      </c>
      <c r="AA549" s="282">
        <f t="shared" ca="1" si="1190"/>
        <v>44.905</v>
      </c>
      <c r="AB549" s="282">
        <f t="shared" ca="1" si="1190"/>
        <v>45.066400000000002</v>
      </c>
      <c r="AC549" s="282">
        <f t="shared" ca="1" si="1190"/>
        <v>45.373399999999997</v>
      </c>
      <c r="AD549" s="282">
        <f t="shared" ca="1" si="1190"/>
        <v>47.764699999999998</v>
      </c>
      <c r="AE549" s="282">
        <f t="shared" ca="1" si="1190"/>
        <v>47.138300000000001</v>
      </c>
      <c r="AF549" s="282">
        <f t="shared" ca="1" si="1190"/>
        <v>47.764699999999998</v>
      </c>
      <c r="AG549" s="282">
        <f t="shared" ca="1" si="1190"/>
        <v>50.25</v>
      </c>
      <c r="AH549" s="282">
        <f t="shared" ca="1" si="1190"/>
        <v>55.34</v>
      </c>
      <c r="AI549" s="282">
        <f t="shared" ca="1" si="1190"/>
        <v>56.89</v>
      </c>
      <c r="AJ549" s="282">
        <f t="shared" ca="1" si="1190"/>
        <v>54.84</v>
      </c>
      <c r="AK549" s="282">
        <f t="shared" ca="1" si="1190"/>
        <v>56.89</v>
      </c>
      <c r="AL549" s="282">
        <f t="shared" ca="1" si="1190"/>
        <v>53.42</v>
      </c>
      <c r="AM549" s="282">
        <f t="shared" ca="1" si="1190"/>
        <v>42.10</v>
      </c>
      <c r="AN549" s="282">
        <f t="shared" ca="1" si="1190"/>
        <v>38.07</v>
      </c>
      <c r="AO549" s="282">
        <f t="shared" ca="1" si="1190"/>
        <v>46.29</v>
      </c>
      <c r="AP549" s="282">
        <f t="shared" ca="1" si="1190"/>
        <v>53.42</v>
      </c>
      <c r="AQ549" s="282">
        <f t="shared" ca="1" si="1190"/>
        <v>52.14</v>
      </c>
      <c r="AR549" s="282">
        <f ca="1" t="shared" si="1191" ref="AR549:AW549">IF(OR(MO.RealTimeStockPriceToggle=FALSE,VLOOKUP(MO.DataSourceName,MO_SPT_StockHigh_Sources,COLUMN(),FALSE)="N/A"),VLOOKUP("Real-Time Off Source",MO_SPT_StockHigh_Sources,COLUMN(),FALSE),VLOOKUP(MO.DataSourceName,MO_SPT_StockHigh_Sources,COLUMN(),FALSE))</f>
        <v>57.48</v>
      </c>
      <c r="AS549" s="282">
        <f t="shared" ca="1" si="1191"/>
        <v>57.52</v>
      </c>
      <c r="AT549" s="282">
        <f t="shared" ca="1" si="1191"/>
        <v>58.79</v>
      </c>
      <c r="AU549" s="282">
        <f t="shared" ca="1" si="1191"/>
        <v>58.79</v>
      </c>
      <c r="AV549" s="282">
        <f t="shared" ca="1" si="1191"/>
        <v>66.040000000000006</v>
      </c>
      <c r="AW549" s="282">
        <f t="shared" ca="1" si="1191"/>
        <v>66.620000000000005</v>
      </c>
      <c r="AX549" s="282">
        <f ca="1" t="shared" si="1192" ref="AX549:BJ549">IF(OR(MO.RealTimeStockPriceToggle=FALSE,VLOOKUP(MO.DataSourceName,MO_SPT_StockHigh_Sources,COLUMN(),FALSE)="N/A"),VLOOKUP("Real-Time Off Source",MO_SPT_StockHigh_Sources,COLUMN(),FALSE),VLOOKUP(MO.DataSourceName,MO_SPT_StockHigh_Sources,COLUMN(),FALSE))</f>
        <v>64.55</v>
      </c>
      <c r="AY549" s="282">
        <f t="shared" ca="1" si="1192"/>
        <v>72.50</v>
      </c>
      <c r="AZ549" s="282">
        <f t="shared" ca="1" si="1192"/>
        <v>72.50</v>
      </c>
      <c r="BA549" s="282">
        <f ca="1" t="shared" si="1193" ref="BA549:BI549">IF(OR(MO.RealTimeStockPriceToggle=FALSE,VLOOKUP(MO.DataSourceName,MO_SPT_StockHigh_Sources,COLUMN(),FALSE)="N/A"),VLOOKUP("Real-Time Off Source",MO_SPT_StockHigh_Sources,COLUMN(),FALSE),VLOOKUP(MO.DataSourceName,MO_SPT_StockHigh_Sources,COLUMN(),FALSE))</f>
        <v>73.84</v>
      </c>
      <c r="BB549" s="282">
        <f t="shared" ca="1" si="1193"/>
        <v>70.36</v>
      </c>
      <c r="BC549" s="282">
        <f t="shared" ca="1" si="1193"/>
        <v>77.95</v>
      </c>
      <c r="BD549" s="282">
        <f t="shared" ca="1" si="1193"/>
        <v>84.35</v>
      </c>
      <c r="BE549" s="282">
        <f t="shared" ca="1" si="1193"/>
        <v>84.35</v>
      </c>
      <c r="BF549" s="282">
        <f ca="1">IF(OR(MO.RealTimeStockPriceToggle=FALSE,VLOOKUP(MO.DataSourceName,MO_SPT_StockHigh_Sources,COLUMN(),FALSE)="N/A"),VLOOKUP("Real-Time Off Source",MO_SPT_StockHigh_Sources,COLUMN(),FALSE),VLOOKUP(MO.DataSourceName,MO_SPT_StockHigh_Sources,COLUMN(),FALSE))</f>
        <v>85.86</v>
      </c>
      <c r="BG549" s="282">
        <f ca="1">IF(OR(MO.RealTimeStockPriceToggle=FALSE,VLOOKUP(MO.DataSourceName,MO_SPT_StockHigh_Sources,COLUMN(),FALSE)="N/A"),VLOOKUP("Real-Time Off Source",MO_SPT_StockHigh_Sources,COLUMN(),FALSE),VLOOKUP(MO.DataSourceName,MO_SPT_StockHigh_Sources,COLUMN(),FALSE))</f>
        <v>90.43</v>
      </c>
      <c r="BH549" s="560">
        <f ca="1">IF(OR(MO.RealTimeStockPriceToggle=FALSE,VLOOKUP(MO.DataSourceName,MO_SPT_StockHigh_Sources,COLUMN(),FALSE)="N/A"),VLOOKUP("Real-Time Off Source",MO_SPT_StockHigh_Sources,COLUMN(),FALSE),VLOOKUP(MO.DataSourceName,MO_SPT_StockHigh_Sources,COLUMN(),FALSE))</f>
        <v>111.80</v>
      </c>
      <c r="BI549" s="282">
        <f t="shared" ca="1" si="1193"/>
        <v>0</v>
      </c>
      <c r="BJ549" s="282">
        <f t="shared" ca="1" si="1192"/>
        <v>0</v>
      </c>
      <c r="BK549" s="282">
        <f ca="1" t="shared" si="1194" ref="BK549:BR549">IF(OR(MO.RealTimeStockPriceToggle=FALSE,VLOOKUP(MO.DataSourceName,MO_SPT_StockHigh_Sources,COLUMN(),FALSE)="N/A"),VLOOKUP("Real-Time Off Source",MO_SPT_StockHigh_Sources,COLUMN(),FALSE),VLOOKUP(MO.DataSourceName,MO_SPT_StockHigh_Sources,COLUMN(),FALSE))</f>
        <v>0</v>
      </c>
      <c r="BL549" s="282">
        <f t="shared" ca="1" si="1194"/>
        <v>0</v>
      </c>
      <c r="BM549" s="282">
        <f t="shared" ca="1" si="1194"/>
        <v>0</v>
      </c>
      <c r="BN549" s="282">
        <f t="shared" ca="1" si="1194"/>
        <v>0</v>
      </c>
      <c r="BO549" s="282">
        <f t="shared" ca="1" si="1194"/>
        <v>0</v>
      </c>
      <c r="BP549" s="282">
        <f t="shared" ca="1" si="1194"/>
        <v>0</v>
      </c>
      <c r="BQ549" s="282">
        <f t="shared" ca="1" si="1194"/>
        <v>0</v>
      </c>
      <c r="BR549" s="284">
        <f t="shared" ca="1" si="1194"/>
        <v>0</v>
      </c>
      <c r="BS549" s="323"/>
    </row>
    <row r="550" spans="1:71" s="285" customFormat="1" ht="15" hidden="1" outlineLevel="1">
      <c r="A550" s="286" t="s">
        <v>211</v>
      </c>
      <c r="B550" s="282"/>
      <c r="C550" s="949">
        <v>23.875</v>
      </c>
      <c r="D550" s="949">
        <v>29.155</v>
      </c>
      <c r="E550" s="950">
        <v>29.77</v>
      </c>
      <c r="F550" s="950">
        <v>27.465</v>
      </c>
      <c r="G550" s="950">
        <v>33.81</v>
      </c>
      <c r="H550" s="950">
        <v>33.345</v>
      </c>
      <c r="I550" s="950">
        <v>32.235</v>
      </c>
      <c r="J550" s="950">
        <v>32.10</v>
      </c>
      <c r="K550" s="950">
        <v>31.23</v>
      </c>
      <c r="L550" s="950">
        <v>33.345</v>
      </c>
      <c r="M550" s="950">
        <v>32.31</v>
      </c>
      <c r="N550" s="950">
        <v>32.549999999999997</v>
      </c>
      <c r="O550" s="950">
        <v>32.494999999999997</v>
      </c>
      <c r="P550" s="950">
        <v>33.265</v>
      </c>
      <c r="Q550" s="950">
        <v>33.265</v>
      </c>
      <c r="R550" s="950">
        <v>32.165</v>
      </c>
      <c r="S550" s="950">
        <v>36.085</v>
      </c>
      <c r="T550" s="950">
        <v>37.25</v>
      </c>
      <c r="U550" s="950">
        <v>36.975</v>
      </c>
      <c r="V550" s="950">
        <v>37.25</v>
      </c>
      <c r="W550" s="950">
        <v>36.665</v>
      </c>
      <c r="X550" s="950">
        <v>39.93</v>
      </c>
      <c r="Y550" s="950">
        <v>42.255</v>
      </c>
      <c r="Z550" s="950">
        <v>44.905</v>
      </c>
      <c r="AA550" s="950">
        <v>44.905</v>
      </c>
      <c r="AB550" s="950">
        <v>45.066400000000002</v>
      </c>
      <c r="AC550" s="950">
        <v>45.373399999999997</v>
      </c>
      <c r="AD550" s="950">
        <v>47.764699999999998</v>
      </c>
      <c r="AE550" s="950">
        <v>47.138300000000001</v>
      </c>
      <c r="AF550" s="950">
        <v>47.764699999999998</v>
      </c>
      <c r="AG550" s="950">
        <v>50.25</v>
      </c>
      <c r="AH550" s="950">
        <v>55.34</v>
      </c>
      <c r="AI550" s="950">
        <v>56.89</v>
      </c>
      <c r="AJ550" s="950">
        <v>54.84</v>
      </c>
      <c r="AK550" s="950">
        <v>56.89</v>
      </c>
      <c r="AL550" s="950">
        <v>53.42</v>
      </c>
      <c r="AM550" s="950">
        <v>42.10</v>
      </c>
      <c r="AN550" s="950">
        <v>38.07</v>
      </c>
      <c r="AO550" s="950">
        <v>46.29</v>
      </c>
      <c r="AP550" s="950">
        <v>53.42</v>
      </c>
      <c r="AQ550" s="950">
        <v>52.14</v>
      </c>
      <c r="AR550" s="950">
        <v>57.48</v>
      </c>
      <c r="AS550" s="950">
        <v>57.52</v>
      </c>
      <c r="AT550" s="950">
        <v>58.79</v>
      </c>
      <c r="AU550" s="950">
        <v>58.79</v>
      </c>
      <c r="AV550" s="950">
        <v>66.040000000000006</v>
      </c>
      <c r="AW550" s="950">
        <v>66.620000000000005</v>
      </c>
      <c r="AX550" s="950">
        <v>64.55</v>
      </c>
      <c r="AY550" s="950">
        <v>72.50</v>
      </c>
      <c r="AZ550" s="950">
        <v>72.50</v>
      </c>
      <c r="BA550" s="950">
        <v>73.84</v>
      </c>
      <c r="BB550" s="950">
        <v>70.36</v>
      </c>
      <c r="BC550" s="950">
        <v>77.95</v>
      </c>
      <c r="BD550" s="950">
        <v>84.35</v>
      </c>
      <c r="BE550" s="950">
        <v>84.35</v>
      </c>
      <c r="BF550" s="950">
        <v>85.86</v>
      </c>
      <c r="BG550" s="950">
        <v>90.43</v>
      </c>
      <c r="BH550" s="951">
        <v>111.80</v>
      </c>
      <c r="BI550" s="282"/>
      <c r="BJ550" s="282"/>
      <c r="BK550" s="282"/>
      <c r="BL550" s="282"/>
      <c r="BM550" s="282"/>
      <c r="BN550" s="282"/>
      <c r="BO550" s="282"/>
      <c r="BP550" s="282"/>
      <c r="BQ550" s="282"/>
      <c r="BR550" s="284"/>
      <c r="BS550" s="323"/>
    </row>
    <row r="551" spans="1:71" s="285" customFormat="1" ht="15" hidden="1" outlineLevel="1">
      <c r="A551" s="286" t="s">
        <v>7</v>
      </c>
      <c r="B551" s="282"/>
      <c r="C551" s="283" t="str">
        <f ca="1">IFERROR(BDP(MO.Ticker.Bloomberg&amp;" Equity","INTERVAL_HIGH","MARKET_DATA_OVERRIDE=PX_LAST","START_DATE_OVERRIDE",TEXT(INDEX(MO_SNA_FPStartDate,0,COLUMN()),"YYYYMMDD"),"END_DATE_OVERRIDE",TEXT(INDEX(MO_Common_QEndDate,0,COLUMN()),"YYYYMMDD")),"N/A")</f>
        <v>N/A</v>
      </c>
      <c r="D551" s="283" t="str">
        <f ca="1">IFERROR(BDP(MO.Ticker.Bloomberg&amp;" Equity","INTERVAL_HIGH","MARKET_DATA_OVERRIDE=PX_LAST","START_DATE_OVERRIDE",TEXT(INDEX(MO_SNA_FPStartDate,0,COLUMN()),"YYYYMMDD"),"END_DATE_OVERRIDE",TEXT(INDEX(MO_Common_QEndDate,0,COLUMN()),"YYYYMMDD")),"N/A")</f>
        <v>N/A</v>
      </c>
      <c r="E551" s="282" t="str">
        <f ca="1">IFERROR(BDP(MO.Ticker.Bloomberg&amp;" Equity","INTERVAL_HIGH","MARKET_DATA_OVERRIDE=PX_LAST","START_DATE_OVERRIDE",TEXT(INDEX(MO_SNA_FPStartDate,0,COLUMN()),"YYYYMMDD"),"END_DATE_OVERRIDE",TEXT(INDEX(MO_Common_QEndDate,0,COLUMN()),"YYYYMMDD")),"N/A")</f>
        <v>N/A</v>
      </c>
      <c r="F551" s="282" t="str">
        <f ca="1">IFERROR(BDP(MO.Ticker.Bloomberg&amp;" Equity","INTERVAL_HIGH","MARKET_DATA_OVERRIDE=PX_LAST","START_DATE_OVERRIDE",TEXT(INDEX(MO_SNA_FPStartDate,0,COLUMN()),"YYYYMMDD"),"END_DATE_OVERRIDE",TEXT(INDEX(MO_Common_QEndDate,0,COLUMN()),"YYYYMMDD")),"N/A")</f>
        <v>N/A</v>
      </c>
      <c r="G551" s="282" t="str">
        <f ca="1">IFERROR(BDP(MO.Ticker.Bloomberg&amp;" Equity","INTERVAL_HIGH","MARKET_DATA_OVERRIDE=PX_LAST","START_DATE_OVERRIDE",TEXT(INDEX(MO_SNA_FPStartDate,0,COLUMN()),"YYYYMMDD"),"END_DATE_OVERRIDE",TEXT(INDEX(MO_Common_QEndDate,0,COLUMN()),"YYYYMMDD")),"N/A")</f>
        <v>N/A</v>
      </c>
      <c r="H551" s="282" t="str">
        <f ca="1">IFERROR(BDP(MO.Ticker.Bloomberg&amp;" Equity","INTERVAL_HIGH","MARKET_DATA_OVERRIDE=PX_LAST","START_DATE_OVERRIDE",TEXT(INDEX(MO_SNA_FPStartDate,0,COLUMN()),"YYYYMMDD"),"END_DATE_OVERRIDE",TEXT(INDEX(MO_Common_QEndDate,0,COLUMN()),"YYYYMMDD")),"N/A")</f>
        <v>N/A</v>
      </c>
      <c r="I551" s="282" t="str">
        <f ca="1">IFERROR(BDP(MO.Ticker.Bloomberg&amp;" Equity","INTERVAL_HIGH","MARKET_DATA_OVERRIDE=PX_LAST","START_DATE_OVERRIDE",TEXT(INDEX(MO_SNA_FPStartDate,0,COLUMN()),"YYYYMMDD"),"END_DATE_OVERRIDE",TEXT(INDEX(MO_Common_QEndDate,0,COLUMN()),"YYYYMMDD")),"N/A")</f>
        <v>N/A</v>
      </c>
      <c r="J551" s="282" t="str">
        <f ca="1">IFERROR(BDP(MO.Ticker.Bloomberg&amp;" Equity","INTERVAL_HIGH","MARKET_DATA_OVERRIDE=PX_LAST","START_DATE_OVERRIDE",TEXT(INDEX(MO_SNA_FPStartDate,0,COLUMN()),"YYYYMMDD"),"END_DATE_OVERRIDE",TEXT(INDEX(MO_Common_QEndDate,0,COLUMN()),"YYYYMMDD")),"N/A")</f>
        <v>N/A</v>
      </c>
      <c r="K551" s="282" t="str">
        <f ca="1">IFERROR(BDP(MO.Ticker.Bloomberg&amp;" Equity","INTERVAL_HIGH","MARKET_DATA_OVERRIDE=PX_LAST","START_DATE_OVERRIDE",TEXT(INDEX(MO_SNA_FPStartDate,0,COLUMN()),"YYYYMMDD"),"END_DATE_OVERRIDE",TEXT(INDEX(MO_Common_QEndDate,0,COLUMN()),"YYYYMMDD")),"N/A")</f>
        <v>N/A</v>
      </c>
      <c r="L551" s="282" t="str">
        <f ca="1">IFERROR(BDP(MO.Ticker.Bloomberg&amp;" Equity","INTERVAL_HIGH","MARKET_DATA_OVERRIDE=PX_LAST","START_DATE_OVERRIDE",TEXT(INDEX(MO_SNA_FPStartDate,0,COLUMN()),"YYYYMMDD"),"END_DATE_OVERRIDE",TEXT(INDEX(MO_Common_QEndDate,0,COLUMN()),"YYYYMMDD")),"N/A")</f>
        <v>N/A</v>
      </c>
      <c r="M551" s="282" t="str">
        <f ca="1">IFERROR(BDP(MO.Ticker.Bloomberg&amp;" Equity","INTERVAL_HIGH","MARKET_DATA_OVERRIDE=PX_LAST","START_DATE_OVERRIDE",TEXT(INDEX(MO_SNA_FPStartDate,0,COLUMN()),"YYYYMMDD"),"END_DATE_OVERRIDE",TEXT(INDEX(MO_Common_QEndDate,0,COLUMN()),"YYYYMMDD")),"N/A")</f>
        <v>N/A</v>
      </c>
      <c r="N551" s="282" t="str">
        <f ca="1">IFERROR(BDP(MO.Ticker.Bloomberg&amp;" Equity","INTERVAL_HIGH","MARKET_DATA_OVERRIDE=PX_LAST","START_DATE_OVERRIDE",TEXT(INDEX(MO_SNA_FPStartDate,0,COLUMN()),"YYYYMMDD"),"END_DATE_OVERRIDE",TEXT(INDEX(MO_Common_QEndDate,0,COLUMN()),"YYYYMMDD")),"N/A")</f>
        <v>N/A</v>
      </c>
      <c r="O551" s="282" t="str">
        <f ca="1">IFERROR(BDP(MO.Ticker.Bloomberg&amp;" Equity","INTERVAL_HIGH","MARKET_DATA_OVERRIDE=PX_LAST","START_DATE_OVERRIDE",TEXT(INDEX(MO_SNA_FPStartDate,0,COLUMN()),"YYYYMMDD"),"END_DATE_OVERRIDE",TEXT(INDEX(MO_Common_QEndDate,0,COLUMN()),"YYYYMMDD")),"N/A")</f>
        <v>N/A</v>
      </c>
      <c r="P551" s="282" t="str">
        <f ca="1">IFERROR(BDP(MO.Ticker.Bloomberg&amp;" Equity","INTERVAL_HIGH","MARKET_DATA_OVERRIDE=PX_LAST","START_DATE_OVERRIDE",TEXT(INDEX(MO_SNA_FPStartDate,0,COLUMN()),"YYYYMMDD"),"END_DATE_OVERRIDE",TEXT(INDEX(MO_Common_QEndDate,0,COLUMN()),"YYYYMMDD")),"N/A")</f>
        <v>N/A</v>
      </c>
      <c r="Q551" s="282" t="str">
        <f ca="1">IFERROR(BDP(MO.Ticker.Bloomberg&amp;" Equity","INTERVAL_HIGH","MARKET_DATA_OVERRIDE=PX_LAST","START_DATE_OVERRIDE",TEXT(INDEX(MO_SNA_FPStartDate,0,COLUMN()),"YYYYMMDD"),"END_DATE_OVERRIDE",TEXT(INDEX(MO_Common_QEndDate,0,COLUMN()),"YYYYMMDD")),"N/A")</f>
        <v>N/A</v>
      </c>
      <c r="R551" s="282" t="str">
        <f ca="1">IFERROR(BDP(MO.Ticker.Bloomberg&amp;" Equity","INTERVAL_HIGH","MARKET_DATA_OVERRIDE=PX_LAST","START_DATE_OVERRIDE",TEXT(INDEX(MO_SNA_FPStartDate,0,COLUMN()),"YYYYMMDD"),"END_DATE_OVERRIDE",TEXT(INDEX(MO_Common_QEndDate,0,COLUMN()),"YYYYMMDD")),"N/A")</f>
        <v>N/A</v>
      </c>
      <c r="S551" s="282" t="str">
        <f ca="1">IFERROR(BDP(MO.Ticker.Bloomberg&amp;" Equity","INTERVAL_HIGH","MARKET_DATA_OVERRIDE=PX_LAST","START_DATE_OVERRIDE",TEXT(INDEX(MO_SNA_FPStartDate,0,COLUMN()),"YYYYMMDD"),"END_DATE_OVERRIDE",TEXT(INDEX(MO_Common_QEndDate,0,COLUMN()),"YYYYMMDD")),"N/A")</f>
        <v>N/A</v>
      </c>
      <c r="T551" s="282" t="str">
        <f ca="1">IFERROR(BDP(MO.Ticker.Bloomberg&amp;" Equity","INTERVAL_HIGH","MARKET_DATA_OVERRIDE=PX_LAST","START_DATE_OVERRIDE",TEXT(INDEX(MO_SNA_FPStartDate,0,COLUMN()),"YYYYMMDD"),"END_DATE_OVERRIDE",TEXT(INDEX(MO_Common_QEndDate,0,COLUMN()),"YYYYMMDD")),"N/A")</f>
        <v>N/A</v>
      </c>
      <c r="U551" s="282" t="str">
        <f ca="1">IFERROR(BDP(MO.Ticker.Bloomberg&amp;" Equity","INTERVAL_HIGH","MARKET_DATA_OVERRIDE=PX_LAST","START_DATE_OVERRIDE",TEXT(INDEX(MO_SNA_FPStartDate,0,COLUMN()),"YYYYMMDD"),"END_DATE_OVERRIDE",TEXT(INDEX(MO_Common_QEndDate,0,COLUMN()),"YYYYMMDD")),"N/A")</f>
        <v>N/A</v>
      </c>
      <c r="V551" s="282" t="str">
        <f ca="1">IFERROR(BDP(MO.Ticker.Bloomberg&amp;" Equity","INTERVAL_HIGH","MARKET_DATA_OVERRIDE=PX_LAST","START_DATE_OVERRIDE",TEXT(INDEX(MO_SNA_FPStartDate,0,COLUMN()),"YYYYMMDD"),"END_DATE_OVERRIDE",TEXT(INDEX(MO_Common_QEndDate,0,COLUMN()),"YYYYMMDD")),"N/A")</f>
        <v>N/A</v>
      </c>
      <c r="W551" s="282" t="str">
        <f ca="1">IFERROR(BDP(MO.Ticker.Bloomberg&amp;" Equity","INTERVAL_HIGH","MARKET_DATA_OVERRIDE=PX_LAST","START_DATE_OVERRIDE",TEXT(INDEX(MO_SNA_FPStartDate,0,COLUMN()),"YYYYMMDD"),"END_DATE_OVERRIDE",TEXT(INDEX(MO_Common_QEndDate,0,COLUMN()),"YYYYMMDD")),"N/A")</f>
        <v>N/A</v>
      </c>
      <c r="X551" s="282" t="str">
        <f ca="1">IFERROR(BDP(MO.Ticker.Bloomberg&amp;" Equity","INTERVAL_HIGH","MARKET_DATA_OVERRIDE=PX_LAST","START_DATE_OVERRIDE",TEXT(INDEX(MO_SNA_FPStartDate,0,COLUMN()),"YYYYMMDD"),"END_DATE_OVERRIDE",TEXT(INDEX(MO_Common_QEndDate,0,COLUMN()),"YYYYMMDD")),"N/A")</f>
        <v>N/A</v>
      </c>
      <c r="Y551" s="282" t="str">
        <f ca="1">IFERROR(BDP(MO.Ticker.Bloomberg&amp;" Equity","INTERVAL_HIGH","MARKET_DATA_OVERRIDE=PX_LAST","START_DATE_OVERRIDE",TEXT(INDEX(MO_SNA_FPStartDate,0,COLUMN()),"YYYYMMDD"),"END_DATE_OVERRIDE",TEXT(INDEX(MO_Common_QEndDate,0,COLUMN()),"YYYYMMDD")),"N/A")</f>
        <v>N/A</v>
      </c>
      <c r="Z551" s="282" t="str">
        <f ca="1">IFERROR(BDP(MO.Ticker.Bloomberg&amp;" Equity","INTERVAL_HIGH","MARKET_DATA_OVERRIDE=PX_LAST","START_DATE_OVERRIDE",TEXT(INDEX(MO_SNA_FPStartDate,0,COLUMN()),"YYYYMMDD"),"END_DATE_OVERRIDE",TEXT(INDEX(MO_Common_QEndDate,0,COLUMN()),"YYYYMMDD")),"N/A")</f>
        <v>N/A</v>
      </c>
      <c r="AA551" s="282" t="str">
        <f ca="1">IFERROR(BDP(MO.Ticker.Bloomberg&amp;" Equity","INTERVAL_HIGH","MARKET_DATA_OVERRIDE=PX_LAST","START_DATE_OVERRIDE",TEXT(INDEX(MO_SNA_FPStartDate,0,COLUMN()),"YYYYMMDD"),"END_DATE_OVERRIDE",TEXT(INDEX(MO_Common_QEndDate,0,COLUMN()),"YYYYMMDD")),"N/A")</f>
        <v>N/A</v>
      </c>
      <c r="AB551" s="282" t="str">
        <f ca="1">IFERROR(BDP(MO.Ticker.Bloomberg&amp;" Equity","INTERVAL_HIGH","MARKET_DATA_OVERRIDE=PX_LAST","START_DATE_OVERRIDE",TEXT(INDEX(MO_SNA_FPStartDate,0,COLUMN()),"YYYYMMDD"),"END_DATE_OVERRIDE",TEXT(INDEX(MO_Common_QEndDate,0,COLUMN()),"YYYYMMDD")),"N/A")</f>
        <v>N/A</v>
      </c>
      <c r="AC551" s="282" t="str">
        <f ca="1">IFERROR(BDP(MO.Ticker.Bloomberg&amp;" Equity","INTERVAL_HIGH","MARKET_DATA_OVERRIDE=PX_LAST","START_DATE_OVERRIDE",TEXT(INDEX(MO_SNA_FPStartDate,0,COLUMN()),"YYYYMMDD"),"END_DATE_OVERRIDE",TEXT(INDEX(MO_Common_QEndDate,0,COLUMN()),"YYYYMMDD")),"N/A")</f>
        <v>N/A</v>
      </c>
      <c r="AD551" s="282" t="str">
        <f ca="1">IFERROR(BDP(MO.Ticker.Bloomberg&amp;" Equity","INTERVAL_HIGH","MARKET_DATA_OVERRIDE=PX_LAST","START_DATE_OVERRIDE",TEXT(INDEX(MO_SNA_FPStartDate,0,COLUMN()),"YYYYMMDD"),"END_DATE_OVERRIDE",TEXT(INDEX(MO_Common_QEndDate,0,COLUMN()),"YYYYMMDD")),"N/A")</f>
        <v>N/A</v>
      </c>
      <c r="AE551" s="282" t="str">
        <f ca="1">IFERROR(BDP(MO.Ticker.Bloomberg&amp;" Equity","INTERVAL_HIGH","MARKET_DATA_OVERRIDE=PX_LAST","START_DATE_OVERRIDE",TEXT(INDEX(MO_SNA_FPStartDate,0,COLUMN()),"YYYYMMDD"),"END_DATE_OVERRIDE",TEXT(INDEX(MO_Common_QEndDate,0,COLUMN()),"YYYYMMDD")),"N/A")</f>
        <v>N/A</v>
      </c>
      <c r="AF551" s="282" t="str">
        <f ca="1">IFERROR(BDP(MO.Ticker.Bloomberg&amp;" Equity","INTERVAL_HIGH","MARKET_DATA_OVERRIDE=PX_LAST","START_DATE_OVERRIDE",TEXT(INDEX(MO_SNA_FPStartDate,0,COLUMN()),"YYYYMMDD"),"END_DATE_OVERRIDE",TEXT(INDEX(MO_Common_QEndDate,0,COLUMN()),"YYYYMMDD")),"N/A")</f>
        <v>N/A</v>
      </c>
      <c r="AG551" s="282" t="str">
        <f ca="1">IFERROR(BDP(MO.Ticker.Bloomberg&amp;" Equity","INTERVAL_HIGH","MARKET_DATA_OVERRIDE=PX_LAST","START_DATE_OVERRIDE",TEXT(INDEX(MO_SNA_FPStartDate,0,COLUMN()),"YYYYMMDD"),"END_DATE_OVERRIDE",TEXT(INDEX(MO_Common_QEndDate,0,COLUMN()),"YYYYMMDD")),"N/A")</f>
        <v>N/A</v>
      </c>
      <c r="AH551" s="282" t="str">
        <f ca="1">IFERROR(BDP(MO.Ticker.Bloomberg&amp;" Equity","INTERVAL_HIGH","MARKET_DATA_OVERRIDE=PX_LAST","START_DATE_OVERRIDE",TEXT(INDEX(MO_SNA_FPStartDate,0,COLUMN()),"YYYYMMDD"),"END_DATE_OVERRIDE",TEXT(INDEX(MO_Common_QEndDate,0,COLUMN()),"YYYYMMDD")),"N/A")</f>
        <v>N/A</v>
      </c>
      <c r="AI551" s="282" t="str">
        <f ca="1">IFERROR(BDP(MO.Ticker.Bloomberg&amp;" Equity","INTERVAL_HIGH","MARKET_DATA_OVERRIDE=PX_LAST","START_DATE_OVERRIDE",TEXT(INDEX(MO_SNA_FPStartDate,0,COLUMN()),"YYYYMMDD"),"END_DATE_OVERRIDE",TEXT(INDEX(MO_Common_QEndDate,0,COLUMN()),"YYYYMMDD")),"N/A")</f>
        <v>N/A</v>
      </c>
      <c r="AJ551" s="282" t="str">
        <f ca="1">IFERROR(BDP(MO.Ticker.Bloomberg&amp;" Equity","INTERVAL_HIGH","MARKET_DATA_OVERRIDE=PX_LAST","START_DATE_OVERRIDE",TEXT(INDEX(MO_SNA_FPStartDate,0,COLUMN()),"YYYYMMDD"),"END_DATE_OVERRIDE",TEXT(INDEX(MO_Common_QEndDate,0,COLUMN()),"YYYYMMDD")),"N/A")</f>
        <v>N/A</v>
      </c>
      <c r="AK551" s="282" t="str">
        <f ca="1">IFERROR(BDP(MO.Ticker.Bloomberg&amp;" Equity","INTERVAL_HIGH","MARKET_DATA_OVERRIDE=PX_LAST","START_DATE_OVERRIDE",TEXT(INDEX(MO_SNA_FPStartDate,0,COLUMN()),"YYYYMMDD"),"END_DATE_OVERRIDE",TEXT(INDEX(MO_Common_QEndDate,0,COLUMN()),"YYYYMMDD")),"N/A")</f>
        <v>N/A</v>
      </c>
      <c r="AL551" s="282" t="str">
        <f ca="1">IFERROR(BDP(MO.Ticker.Bloomberg&amp;" Equity","INTERVAL_HIGH","MARKET_DATA_OVERRIDE=PX_LAST","START_DATE_OVERRIDE",TEXT(INDEX(MO_SNA_FPStartDate,0,COLUMN()),"YYYYMMDD"),"END_DATE_OVERRIDE",TEXT(INDEX(MO_Common_QEndDate,0,COLUMN()),"YYYYMMDD")),"N/A")</f>
        <v>N/A</v>
      </c>
      <c r="AM551" s="282" t="str">
        <f ca="1">IFERROR(BDP(MO.Ticker.Bloomberg&amp;" Equity","INTERVAL_HIGH","MARKET_DATA_OVERRIDE=PX_LAST","START_DATE_OVERRIDE",TEXT(INDEX(MO_SNA_FPStartDate,0,COLUMN()),"YYYYMMDD"),"END_DATE_OVERRIDE",TEXT(INDEX(MO_Common_QEndDate,0,COLUMN()),"YYYYMMDD")),"N/A")</f>
        <v>N/A</v>
      </c>
      <c r="AN551" s="282" t="str">
        <f ca="1">IFERROR(BDP(MO.Ticker.Bloomberg&amp;" Equity","INTERVAL_HIGH","MARKET_DATA_OVERRIDE=PX_LAST","START_DATE_OVERRIDE",TEXT(INDEX(MO_SNA_FPStartDate,0,COLUMN()),"YYYYMMDD"),"END_DATE_OVERRIDE",TEXT(INDEX(MO_Common_QEndDate,0,COLUMN()),"YYYYMMDD")),"N/A")</f>
        <v>N/A</v>
      </c>
      <c r="AO551" s="282" t="str">
        <f ca="1">IFERROR(BDP(MO.Ticker.Bloomberg&amp;" Equity","INTERVAL_HIGH","MARKET_DATA_OVERRIDE=PX_LAST","START_DATE_OVERRIDE",TEXT(INDEX(MO_SNA_FPStartDate,0,COLUMN()),"YYYYMMDD"),"END_DATE_OVERRIDE",TEXT(INDEX(MO_Common_QEndDate,0,COLUMN()),"YYYYMMDD")),"N/A")</f>
        <v>N/A</v>
      </c>
      <c r="AP551" s="282" t="str">
        <f ca="1">IFERROR(BDP(MO.Ticker.Bloomberg&amp;" Equity","INTERVAL_HIGH","MARKET_DATA_OVERRIDE=PX_LAST","START_DATE_OVERRIDE",TEXT(INDEX(MO_SNA_FPStartDate,0,COLUMN()),"YYYYMMDD"),"END_DATE_OVERRIDE",TEXT(INDEX(MO_Common_QEndDate,0,COLUMN()),"YYYYMMDD")),"N/A")</f>
        <v>N/A</v>
      </c>
      <c r="AQ551" s="282" t="str">
        <f ca="1">IFERROR(BDP(MO.Ticker.Bloomberg&amp;" Equity","INTERVAL_HIGH","MARKET_DATA_OVERRIDE=PX_LAST","START_DATE_OVERRIDE",TEXT(INDEX(MO_SNA_FPStartDate,0,COLUMN()),"YYYYMMDD"),"END_DATE_OVERRIDE",TEXT(INDEX(MO_Common_QEndDate,0,COLUMN()),"YYYYMMDD")),"N/A")</f>
        <v>N/A</v>
      </c>
      <c r="AR551" s="282" t="str">
        <f ca="1">IFERROR(BDP(MO.Ticker.Bloomberg&amp;" Equity","INTERVAL_HIGH","MARKET_DATA_OVERRIDE=PX_LAST","START_DATE_OVERRIDE",TEXT(INDEX(MO_SNA_FPStartDate,0,COLUMN()),"YYYYMMDD"),"END_DATE_OVERRIDE",TEXT(INDEX(MO_Common_QEndDate,0,COLUMN()),"YYYYMMDD")),"N/A")</f>
        <v>N/A</v>
      </c>
      <c r="AS551" s="282" t="str">
        <f ca="1">IFERROR(BDP(MO.Ticker.Bloomberg&amp;" Equity","INTERVAL_HIGH","MARKET_DATA_OVERRIDE=PX_LAST","START_DATE_OVERRIDE",TEXT(INDEX(MO_SNA_FPStartDate,0,COLUMN()),"YYYYMMDD"),"END_DATE_OVERRIDE",TEXT(INDEX(MO_Common_QEndDate,0,COLUMN()),"YYYYMMDD")),"N/A")</f>
        <v>N/A</v>
      </c>
      <c r="AT551" s="282" t="str">
        <f ca="1">IFERROR(BDP(MO.Ticker.Bloomberg&amp;" Equity","INTERVAL_HIGH","MARKET_DATA_OVERRIDE=PX_LAST","START_DATE_OVERRIDE",TEXT(INDEX(MO_SNA_FPStartDate,0,COLUMN()),"YYYYMMDD"),"END_DATE_OVERRIDE",TEXT(INDEX(MO_Common_QEndDate,0,COLUMN()),"YYYYMMDD")),"N/A")</f>
        <v>N/A</v>
      </c>
      <c r="AU551" s="282" t="str">
        <f ca="1">IFERROR(BDP(MO.Ticker.Bloomberg&amp;" Equity","INTERVAL_HIGH","MARKET_DATA_OVERRIDE=PX_LAST","START_DATE_OVERRIDE",TEXT(INDEX(MO_SNA_FPStartDate,0,COLUMN()),"YYYYMMDD"),"END_DATE_OVERRIDE",TEXT(INDEX(MO_Common_QEndDate,0,COLUMN()),"YYYYMMDD")),"N/A")</f>
        <v>N/A</v>
      </c>
      <c r="AV551" s="282" t="str">
        <f ca="1">IFERROR(BDP(MO.Ticker.Bloomberg&amp;" Equity","INTERVAL_HIGH","MARKET_DATA_OVERRIDE=PX_LAST","START_DATE_OVERRIDE",TEXT(INDEX(MO_SNA_FPStartDate,0,COLUMN()),"YYYYMMDD"),"END_DATE_OVERRIDE",TEXT(INDEX(MO_Common_QEndDate,0,COLUMN()),"YYYYMMDD")),"N/A")</f>
        <v>N/A</v>
      </c>
      <c r="AW551" s="282" t="str">
        <f ca="1">IFERROR(BDP(MO.Ticker.Bloomberg&amp;" Equity","INTERVAL_HIGH","MARKET_DATA_OVERRIDE=PX_LAST","START_DATE_OVERRIDE",TEXT(INDEX(MO_SNA_FPStartDate,0,COLUMN()),"YYYYMMDD"),"END_DATE_OVERRIDE",TEXT(INDEX(MO_Common_QEndDate,0,COLUMN()),"YYYYMMDD")),"N/A")</f>
        <v>N/A</v>
      </c>
      <c r="AX551" s="282" t="str">
        <f ca="1">IFERROR(BDP(MO.Ticker.Bloomberg&amp;" Equity","INTERVAL_HIGH","MARKET_DATA_OVERRIDE=PX_LAST","START_DATE_OVERRIDE",TEXT(INDEX(MO_SNA_FPStartDate,0,COLUMN()),"YYYYMMDD"),"END_DATE_OVERRIDE",TEXT(INDEX(MO_Common_QEndDate,0,COLUMN()),"YYYYMMDD")),"N/A")</f>
        <v>N/A</v>
      </c>
      <c r="AY551" s="282" t="str">
        <f ca="1">IFERROR(BDP(MO.Ticker.Bloomberg&amp;" Equity","INTERVAL_HIGH","MARKET_DATA_OVERRIDE=PX_LAST","START_DATE_OVERRIDE",TEXT(INDEX(MO_SNA_FPStartDate,0,COLUMN()),"YYYYMMDD"),"END_DATE_OVERRIDE",TEXT(INDEX(MO_Common_QEndDate,0,COLUMN()),"YYYYMMDD")),"N/A")</f>
        <v>N/A</v>
      </c>
      <c r="AZ551" s="282" t="str">
        <f ca="1">IFERROR(BDP(MO.Ticker.Bloomberg&amp;" Equity","INTERVAL_HIGH","MARKET_DATA_OVERRIDE=PX_LAST","START_DATE_OVERRIDE",TEXT(INDEX(MO_SNA_FPStartDate,0,COLUMN()),"YYYYMMDD"),"END_DATE_OVERRIDE",TEXT(INDEX(MO_Common_QEndDate,0,COLUMN()),"YYYYMMDD")),"N/A")</f>
        <v>N/A</v>
      </c>
      <c r="BA551" s="282" t="str">
        <f ca="1">IFERROR(BDP(MO.Ticker.Bloomberg&amp;" Equity","INTERVAL_HIGH","MARKET_DATA_OVERRIDE=PX_LAST","START_DATE_OVERRIDE",TEXT(INDEX(MO_SNA_FPStartDate,0,COLUMN()),"YYYYMMDD"),"END_DATE_OVERRIDE",TEXT(INDEX(MO_Common_QEndDate,0,COLUMN()),"YYYYMMDD")),"N/A")</f>
        <v>N/A</v>
      </c>
      <c r="BB551" s="282" t="str">
        <f ca="1">IFERROR(BDP(MO.Ticker.Bloomberg&amp;" Equity","INTERVAL_HIGH","MARKET_DATA_OVERRIDE=PX_LAST","START_DATE_OVERRIDE",TEXT(INDEX(MO_SNA_FPStartDate,0,COLUMN()),"YYYYMMDD"),"END_DATE_OVERRIDE",TEXT(INDEX(MO_Common_QEndDate,0,COLUMN()),"YYYYMMDD")),"N/A")</f>
        <v>N/A</v>
      </c>
      <c r="BC551" s="282" t="str">
        <f ca="1">IFERROR(BDP(MO.Ticker.Bloomberg&amp;" Equity","INTERVAL_HIGH","MARKET_DATA_OVERRIDE=PX_LAST","START_DATE_OVERRIDE",TEXT(INDEX(MO_SNA_FPStartDate,0,COLUMN()),"YYYYMMDD"),"END_DATE_OVERRIDE",TEXT(INDEX(MO_Common_QEndDate,0,COLUMN()),"YYYYMMDD")),"N/A")</f>
        <v>N/A</v>
      </c>
      <c r="BD551" s="282" t="str">
        <f ca="1">IFERROR(BDP(MO.Ticker.Bloomberg&amp;" Equity","INTERVAL_HIGH","MARKET_DATA_OVERRIDE=PX_LAST","START_DATE_OVERRIDE",TEXT(INDEX(MO_SNA_FPStartDate,0,COLUMN()),"YYYYMMDD"),"END_DATE_OVERRIDE",TEXT(INDEX(MO_Common_QEndDate,0,COLUMN()),"YYYYMMDD")),"N/A")</f>
        <v>N/A</v>
      </c>
      <c r="BE551" s="282" t="str">
        <f ca="1">IFERROR(BDP(MO.Ticker.Bloomberg&amp;" Equity","INTERVAL_HIGH","MARKET_DATA_OVERRIDE=PX_LAST","START_DATE_OVERRIDE",TEXT(INDEX(MO_SNA_FPStartDate,0,COLUMN()),"YYYYMMDD"),"END_DATE_OVERRIDE",TEXT(INDEX(MO_Common_QEndDate,0,COLUMN()),"YYYYMMDD")),"N/A")</f>
        <v>N/A</v>
      </c>
      <c r="BF551" s="282" t="str">
        <f ca="1">IFERROR(BDP(MO.Ticker.Bloomberg&amp;" Equity","INTERVAL_HIGH","MARKET_DATA_OVERRIDE=PX_LAST","START_DATE_OVERRIDE",TEXT(INDEX(MO_SNA_FPStartDate,0,COLUMN()),"YYYYMMDD"),"END_DATE_OVERRIDE",TEXT(INDEX(MO_Common_QEndDate,0,COLUMN()),"YYYYMMDD")),"N/A")</f>
        <v>N/A</v>
      </c>
      <c r="BG551" s="282" t="str">
        <f ca="1">IFERROR(BDP(MO.Ticker.Bloomberg&amp;" Equity","INTERVAL_HIGH","MARKET_DATA_OVERRIDE=PX_LAST","START_DATE_OVERRIDE",TEXT(INDEX(MO_SNA_FPStartDate,0,COLUMN()),"YYYYMMDD"),"END_DATE_OVERRIDE",TEXT(INDEX(MO_Common_QEndDate,0,COLUMN()),"YYYYMMDD")),"N/A")</f>
        <v>N/A</v>
      </c>
      <c r="BH551" s="560" t="str">
        <f ca="1">IFERROR(BDP(MO.Ticker.Bloomberg&amp;" Equity","INTERVAL_HIGH","MARKET_DATA_OVERRIDE=PX_LAST","START_DATE_OVERRIDE",TEXT(INDEX(MO_SNA_FPStartDate,0,COLUMN()),"YYYYMMDD"),"END_DATE_OVERRIDE",TEXT(INDEX(MO_Common_QEndDate,0,COLUMN()),"YYYYMMDD")),"N/A")</f>
        <v>N/A</v>
      </c>
      <c r="BI551" s="282" t="str">
        <f ca="1">IFERROR(BDP(MO.Ticker.Bloomberg&amp;" Equity","INTERVAL_HIGH","MARKET_DATA_OVERRIDE=PX_LAST","START_DATE_OVERRIDE",TEXT(INDEX(MO_SNA_FPStartDate,0,COLUMN()),"YYYYMMDD"),"END_DATE_OVERRIDE",TEXT(INDEX(MO_Common_QEndDate,0,COLUMN()),"YYYYMMDD")),"N/A")</f>
        <v>N/A</v>
      </c>
      <c r="BJ551" s="282" t="str">
        <f ca="1">IFERROR(BDP(MO.Ticker.Bloomberg&amp;" Equity","INTERVAL_HIGH","MARKET_DATA_OVERRIDE=PX_LAST","START_DATE_OVERRIDE",TEXT(INDEX(MO_SNA_FPStartDate,0,COLUMN()),"YYYYMMDD"),"END_DATE_OVERRIDE",TEXT(INDEX(MO_Common_QEndDate,0,COLUMN()),"YYYYMMDD")),"N/A")</f>
        <v>N/A</v>
      </c>
      <c r="BK551" s="282" t="str">
        <f ca="1">IFERROR(BDP(MO.Ticker.Bloomberg&amp;" Equity","INTERVAL_HIGH","MARKET_DATA_OVERRIDE=PX_LAST","START_DATE_OVERRIDE",TEXT(INDEX(MO_SNA_FPStartDate,0,COLUMN()),"YYYYMMDD"),"END_DATE_OVERRIDE",TEXT(INDEX(MO_Common_QEndDate,0,COLUMN()),"YYYYMMDD")),"N/A")</f>
        <v>N/A</v>
      </c>
      <c r="BL551" s="282" t="str">
        <f ca="1">IFERROR(BDP(MO.Ticker.Bloomberg&amp;" Equity","INTERVAL_HIGH","MARKET_DATA_OVERRIDE=PX_LAST","START_DATE_OVERRIDE",TEXT(INDEX(MO_SNA_FPStartDate,0,COLUMN()),"YYYYMMDD"),"END_DATE_OVERRIDE",TEXT(INDEX(MO_Common_QEndDate,0,COLUMN()),"YYYYMMDD")),"N/A")</f>
        <v>N/A</v>
      </c>
      <c r="BM551" s="282" t="str">
        <f ca="1">IFERROR(BDP(MO.Ticker.Bloomberg&amp;" Equity","INTERVAL_HIGH","MARKET_DATA_OVERRIDE=PX_LAST","START_DATE_OVERRIDE",TEXT(INDEX(MO_SNA_FPStartDate,0,COLUMN()),"YYYYMMDD"),"END_DATE_OVERRIDE",TEXT(INDEX(MO_Common_QEndDate,0,COLUMN()),"YYYYMMDD")),"N/A")</f>
        <v>N/A</v>
      </c>
      <c r="BN551" s="282" t="str">
        <f ca="1">IFERROR(BDP(MO.Ticker.Bloomberg&amp;" Equity","INTERVAL_HIGH","MARKET_DATA_OVERRIDE=PX_LAST","START_DATE_OVERRIDE",TEXT(INDEX(MO_SNA_FPStartDate,0,COLUMN()),"YYYYMMDD"),"END_DATE_OVERRIDE",TEXT(INDEX(MO_Common_QEndDate,0,COLUMN()),"YYYYMMDD")),"N/A")</f>
        <v>N/A</v>
      </c>
      <c r="BO551" s="282" t="str">
        <f ca="1">IFERROR(BDP(MO.Ticker.Bloomberg&amp;" Equity","INTERVAL_HIGH","MARKET_DATA_OVERRIDE=PX_LAST","START_DATE_OVERRIDE",TEXT(INDEX(MO_SNA_FPStartDate,0,COLUMN()),"YYYYMMDD"),"END_DATE_OVERRIDE",TEXT(INDEX(MO_Common_QEndDate,0,COLUMN()),"YYYYMMDD")),"N/A")</f>
        <v>N/A</v>
      </c>
      <c r="BP551" s="282" t="str">
        <f ca="1">IFERROR(BDP(MO.Ticker.Bloomberg&amp;" Equity","INTERVAL_HIGH","MARKET_DATA_OVERRIDE=PX_LAST","START_DATE_OVERRIDE",TEXT(INDEX(MO_SNA_FPStartDate,0,COLUMN()),"YYYYMMDD"),"END_DATE_OVERRIDE",TEXT(INDEX(MO_Common_QEndDate,0,COLUMN()),"YYYYMMDD")),"N/A")</f>
        <v>N/A</v>
      </c>
      <c r="BQ551" s="282" t="str">
        <f ca="1">IFERROR(BDP(MO.Ticker.Bloomberg&amp;" Equity","INTERVAL_HIGH","MARKET_DATA_OVERRIDE=PX_LAST","START_DATE_OVERRIDE",TEXT(INDEX(MO_SNA_FPStartDate,0,COLUMN()),"YYYYMMDD"),"END_DATE_OVERRIDE",TEXT(INDEX(MO_Common_QEndDate,0,COLUMN()),"YYYYMMDD")),"N/A")</f>
        <v>N/A</v>
      </c>
      <c r="BR551" s="284" t="str">
        <f ca="1">IFERROR(BDP(MO.Ticker.Bloomberg&amp;" Equity","INTERVAL_HIGH","MARKET_DATA_OVERRIDE=PX_LAST","START_DATE_OVERRIDE",TEXT(INDEX(MO_SNA_FPStartDate,0,COLUMN()),"YYYYMMDD"),"END_DATE_OVERRIDE",TEXT(INDEX(MO_Common_QEndDate,0,COLUMN()),"YYYYMMDD")),"N/A")</f>
        <v>N/A</v>
      </c>
      <c r="BS551" s="323"/>
    </row>
    <row r="552" spans="1:71" s="285" customFormat="1" ht="15" hidden="1" outlineLevel="1">
      <c r="A552" s="286" t="s">
        <v>212</v>
      </c>
      <c r="B552" s="282"/>
      <c r="C552" s="283" t="str">
        <f ca="1">IFERROR(CIQHI(MO.Ticker.CapIQ,"IQ_LASTSALEPRICE",INDEX(MO_SNA_FPStartDate,0,COLUMN()),INDEX(MO_Common_QEndDate,0,COLUMN())),"N/A")</f>
        <v>N/A</v>
      </c>
      <c r="D552" s="283" t="str">
        <f ca="1">IFERROR(CIQHI(MO.Ticker.CapIQ,"IQ_LASTSALEPRICE",INDEX(MO_SNA_FPStartDate,0,COLUMN()),INDEX(MO_Common_QEndDate,0,COLUMN())),"N/A")</f>
        <v>N/A</v>
      </c>
      <c r="E552" s="282" t="str">
        <f ca="1">IFERROR(CIQHI(MO.Ticker.CapIQ,"IQ_LASTSALEPRICE",INDEX(MO_SNA_FPStartDate,0,COLUMN()),INDEX(MO_Common_QEndDate,0,COLUMN())),"N/A")</f>
        <v>N/A</v>
      </c>
      <c r="F552" s="282" t="str">
        <f ca="1">IFERROR(CIQHI(MO.Ticker.CapIQ,"IQ_LASTSALEPRICE",INDEX(MO_SNA_FPStartDate,0,COLUMN()),INDEX(MO_Common_QEndDate,0,COLUMN())),"N/A")</f>
        <v>N/A</v>
      </c>
      <c r="G552" s="282" t="str">
        <f ca="1">IFERROR(CIQHI(MO.Ticker.CapIQ,"IQ_LASTSALEPRICE",INDEX(MO_SNA_FPStartDate,0,COLUMN()),INDEX(MO_Common_QEndDate,0,COLUMN())),"N/A")</f>
        <v>N/A</v>
      </c>
      <c r="H552" s="282" t="str">
        <f ca="1">IFERROR(CIQHI(MO.Ticker.CapIQ,"IQ_LASTSALEPRICE",INDEX(MO_SNA_FPStartDate,0,COLUMN()),INDEX(MO_Common_QEndDate,0,COLUMN())),"N/A")</f>
        <v>N/A</v>
      </c>
      <c r="I552" s="282" t="str">
        <f ca="1">IFERROR(CIQHI(MO.Ticker.CapIQ,"IQ_LASTSALEPRICE",INDEX(MO_SNA_FPStartDate,0,COLUMN()),INDEX(MO_Common_QEndDate,0,COLUMN())),"N/A")</f>
        <v>N/A</v>
      </c>
      <c r="J552" s="282" t="str">
        <f ca="1">IFERROR(CIQHI(MO.Ticker.CapIQ,"IQ_LASTSALEPRICE",INDEX(MO_SNA_FPStartDate,0,COLUMN()),INDEX(MO_Common_QEndDate,0,COLUMN())),"N/A")</f>
        <v>N/A</v>
      </c>
      <c r="K552" s="282" t="str">
        <f ca="1">IFERROR(CIQHI(MO.Ticker.CapIQ,"IQ_LASTSALEPRICE",INDEX(MO_SNA_FPStartDate,0,COLUMN()),INDEX(MO_Common_QEndDate,0,COLUMN())),"N/A")</f>
        <v>N/A</v>
      </c>
      <c r="L552" s="282" t="str">
        <f ca="1">IFERROR(CIQHI(MO.Ticker.CapIQ,"IQ_LASTSALEPRICE",INDEX(MO_SNA_FPStartDate,0,COLUMN()),INDEX(MO_Common_QEndDate,0,COLUMN())),"N/A")</f>
        <v>N/A</v>
      </c>
      <c r="M552" s="282" t="str">
        <f ca="1">IFERROR(CIQHI(MO.Ticker.CapIQ,"IQ_LASTSALEPRICE",INDEX(MO_SNA_FPStartDate,0,COLUMN()),INDEX(MO_Common_QEndDate,0,COLUMN())),"N/A")</f>
        <v>N/A</v>
      </c>
      <c r="N552" s="282" t="str">
        <f ca="1">IFERROR(CIQHI(MO.Ticker.CapIQ,"IQ_LASTSALEPRICE",INDEX(MO_SNA_FPStartDate,0,COLUMN()),INDEX(MO_Common_QEndDate,0,COLUMN())),"N/A")</f>
        <v>N/A</v>
      </c>
      <c r="O552" s="282" t="str">
        <f ca="1">IFERROR(CIQHI(MO.Ticker.CapIQ,"IQ_LASTSALEPRICE",INDEX(MO_SNA_FPStartDate,0,COLUMN()),INDEX(MO_Common_QEndDate,0,COLUMN())),"N/A")</f>
        <v>N/A</v>
      </c>
      <c r="P552" s="282" t="str">
        <f ca="1">IFERROR(CIQHI(MO.Ticker.CapIQ,"IQ_LASTSALEPRICE",INDEX(MO_SNA_FPStartDate,0,COLUMN()),INDEX(MO_Common_QEndDate,0,COLUMN())),"N/A")</f>
        <v>N/A</v>
      </c>
      <c r="Q552" s="282" t="str">
        <f ca="1">IFERROR(CIQHI(MO.Ticker.CapIQ,"IQ_LASTSALEPRICE",INDEX(MO_SNA_FPStartDate,0,COLUMN()),INDEX(MO_Common_QEndDate,0,COLUMN())),"N/A")</f>
        <v>N/A</v>
      </c>
      <c r="R552" s="282" t="str">
        <f ca="1">IFERROR(CIQHI(MO.Ticker.CapIQ,"IQ_LASTSALEPRICE",INDEX(MO_SNA_FPStartDate,0,COLUMN()),INDEX(MO_Common_QEndDate,0,COLUMN())),"N/A")</f>
        <v>N/A</v>
      </c>
      <c r="S552" s="282" t="str">
        <f ca="1">IFERROR(CIQHI(MO.Ticker.CapIQ,"IQ_LASTSALEPRICE",INDEX(MO_SNA_FPStartDate,0,COLUMN()),INDEX(MO_Common_QEndDate,0,COLUMN())),"N/A")</f>
        <v>N/A</v>
      </c>
      <c r="T552" s="282" t="str">
        <f ca="1">IFERROR(CIQHI(MO.Ticker.CapIQ,"IQ_LASTSALEPRICE",INDEX(MO_SNA_FPStartDate,0,COLUMN()),INDEX(MO_Common_QEndDate,0,COLUMN())),"N/A")</f>
        <v>N/A</v>
      </c>
      <c r="U552" s="282" t="str">
        <f ca="1">IFERROR(CIQHI(MO.Ticker.CapIQ,"IQ_LASTSALEPRICE",INDEX(MO_SNA_FPStartDate,0,COLUMN()),INDEX(MO_Common_QEndDate,0,COLUMN())),"N/A")</f>
        <v>N/A</v>
      </c>
      <c r="V552" s="282" t="str">
        <f ca="1">IFERROR(CIQHI(MO.Ticker.CapIQ,"IQ_LASTSALEPRICE",INDEX(MO_SNA_FPStartDate,0,COLUMN()),INDEX(MO_Common_QEndDate,0,COLUMN())),"N/A")</f>
        <v>N/A</v>
      </c>
      <c r="W552" s="282" t="str">
        <f ca="1">IFERROR(CIQHI(MO.Ticker.CapIQ,"IQ_LASTSALEPRICE",INDEX(MO_SNA_FPStartDate,0,COLUMN()),INDEX(MO_Common_QEndDate,0,COLUMN())),"N/A")</f>
        <v>N/A</v>
      </c>
      <c r="X552" s="282" t="str">
        <f ca="1">IFERROR(CIQHI(MO.Ticker.CapIQ,"IQ_LASTSALEPRICE",INDEX(MO_SNA_FPStartDate,0,COLUMN()),INDEX(MO_Common_QEndDate,0,COLUMN())),"N/A")</f>
        <v>N/A</v>
      </c>
      <c r="Y552" s="282" t="str">
        <f ca="1">IFERROR(CIQHI(MO.Ticker.CapIQ,"IQ_LASTSALEPRICE",INDEX(MO_SNA_FPStartDate,0,COLUMN()),INDEX(MO_Common_QEndDate,0,COLUMN())),"N/A")</f>
        <v>N/A</v>
      </c>
      <c r="Z552" s="282" t="str">
        <f ca="1">IFERROR(CIQHI(MO.Ticker.CapIQ,"IQ_LASTSALEPRICE",INDEX(MO_SNA_FPStartDate,0,COLUMN()),INDEX(MO_Common_QEndDate,0,COLUMN())),"N/A")</f>
        <v>N/A</v>
      </c>
      <c r="AA552" s="282" t="str">
        <f ca="1">IFERROR(CIQHI(MO.Ticker.CapIQ,"IQ_LASTSALEPRICE",INDEX(MO_SNA_FPStartDate,0,COLUMN()),INDEX(MO_Common_QEndDate,0,COLUMN())),"N/A")</f>
        <v>N/A</v>
      </c>
      <c r="AB552" s="282" t="str">
        <f ca="1">IFERROR(CIQHI(MO.Ticker.CapIQ,"IQ_LASTSALEPRICE",INDEX(MO_SNA_FPStartDate,0,COLUMN()),INDEX(MO_Common_QEndDate,0,COLUMN())),"N/A")</f>
        <v>N/A</v>
      </c>
      <c r="AC552" s="282" t="str">
        <f ca="1">IFERROR(CIQHI(MO.Ticker.CapIQ,"IQ_LASTSALEPRICE",INDEX(MO_SNA_FPStartDate,0,COLUMN()),INDEX(MO_Common_QEndDate,0,COLUMN())),"N/A")</f>
        <v>N/A</v>
      </c>
      <c r="AD552" s="282" t="str">
        <f ca="1">IFERROR(CIQHI(MO.Ticker.CapIQ,"IQ_LASTSALEPRICE",INDEX(MO_SNA_FPStartDate,0,COLUMN()),INDEX(MO_Common_QEndDate,0,COLUMN())),"N/A")</f>
        <v>N/A</v>
      </c>
      <c r="AE552" s="282" t="str">
        <f ca="1">IFERROR(CIQHI(MO.Ticker.CapIQ,"IQ_LASTSALEPRICE",INDEX(MO_SNA_FPStartDate,0,COLUMN()),INDEX(MO_Common_QEndDate,0,COLUMN())),"N/A")</f>
        <v>N/A</v>
      </c>
      <c r="AF552" s="282" t="str">
        <f ca="1">IFERROR(CIQHI(MO.Ticker.CapIQ,"IQ_LASTSALEPRICE",INDEX(MO_SNA_FPStartDate,0,COLUMN()),INDEX(MO_Common_QEndDate,0,COLUMN())),"N/A")</f>
        <v>N/A</v>
      </c>
      <c r="AG552" s="282" t="str">
        <f ca="1">IFERROR(CIQHI(MO.Ticker.CapIQ,"IQ_LASTSALEPRICE",INDEX(MO_SNA_FPStartDate,0,COLUMN()),INDEX(MO_Common_QEndDate,0,COLUMN())),"N/A")</f>
        <v>N/A</v>
      </c>
      <c r="AH552" s="282" t="str">
        <f ca="1">IFERROR(CIQHI(MO.Ticker.CapIQ,"IQ_LASTSALEPRICE",INDEX(MO_SNA_FPStartDate,0,COLUMN()),INDEX(MO_Common_QEndDate,0,COLUMN())),"N/A")</f>
        <v>N/A</v>
      </c>
      <c r="AI552" s="282" t="str">
        <f ca="1">IFERROR(CIQHI(MO.Ticker.CapIQ,"IQ_LASTSALEPRICE",INDEX(MO_SNA_FPStartDate,0,COLUMN()),INDEX(MO_Common_QEndDate,0,COLUMN())),"N/A")</f>
        <v>N/A</v>
      </c>
      <c r="AJ552" s="282" t="str">
        <f ca="1">IFERROR(CIQHI(MO.Ticker.CapIQ,"IQ_LASTSALEPRICE",INDEX(MO_SNA_FPStartDate,0,COLUMN()),INDEX(MO_Common_QEndDate,0,COLUMN())),"N/A")</f>
        <v>N/A</v>
      </c>
      <c r="AK552" s="282" t="str">
        <f ca="1">IFERROR(CIQHI(MO.Ticker.CapIQ,"IQ_LASTSALEPRICE",INDEX(MO_SNA_FPStartDate,0,COLUMN()),INDEX(MO_Common_QEndDate,0,COLUMN())),"N/A")</f>
        <v>N/A</v>
      </c>
      <c r="AL552" s="282" t="str">
        <f ca="1">IFERROR(CIQHI(MO.Ticker.CapIQ,"IQ_LASTSALEPRICE",INDEX(MO_SNA_FPStartDate,0,COLUMN()),INDEX(MO_Common_QEndDate,0,COLUMN())),"N/A")</f>
        <v>N/A</v>
      </c>
      <c r="AM552" s="282" t="str">
        <f ca="1">IFERROR(CIQHI(MO.Ticker.CapIQ,"IQ_LASTSALEPRICE",INDEX(MO_SNA_FPStartDate,0,COLUMN()),INDEX(MO_Common_QEndDate,0,COLUMN())),"N/A")</f>
        <v>N/A</v>
      </c>
      <c r="AN552" s="282" t="str">
        <f ca="1">IFERROR(CIQHI(MO.Ticker.CapIQ,"IQ_LASTSALEPRICE",INDEX(MO_SNA_FPStartDate,0,COLUMN()),INDEX(MO_Common_QEndDate,0,COLUMN())),"N/A")</f>
        <v>N/A</v>
      </c>
      <c r="AO552" s="282" t="str">
        <f ca="1">IFERROR(CIQHI(MO.Ticker.CapIQ,"IQ_LASTSALEPRICE",INDEX(MO_SNA_FPStartDate,0,COLUMN()),INDEX(MO_Common_QEndDate,0,COLUMN())),"N/A")</f>
        <v>N/A</v>
      </c>
      <c r="AP552" s="282" t="str">
        <f ca="1">IFERROR(CIQHI(MO.Ticker.CapIQ,"IQ_LASTSALEPRICE",INDEX(MO_SNA_FPStartDate,0,COLUMN()),INDEX(MO_Common_QEndDate,0,COLUMN())),"N/A")</f>
        <v>N/A</v>
      </c>
      <c r="AQ552" s="282" t="str">
        <f ca="1">IFERROR(CIQHI(MO.Ticker.CapIQ,"IQ_LASTSALEPRICE",INDEX(MO_SNA_FPStartDate,0,COLUMN()),INDEX(MO_Common_QEndDate,0,COLUMN())),"N/A")</f>
        <v>N/A</v>
      </c>
      <c r="AR552" s="282" t="str">
        <f ca="1">IFERROR(CIQHI(MO.Ticker.CapIQ,"IQ_LASTSALEPRICE",INDEX(MO_SNA_FPStartDate,0,COLUMN()),INDEX(MO_Common_QEndDate,0,COLUMN())),"N/A")</f>
        <v>N/A</v>
      </c>
      <c r="AS552" s="282" t="str">
        <f ca="1">IFERROR(CIQHI(MO.Ticker.CapIQ,"IQ_LASTSALEPRICE",INDEX(MO_SNA_FPStartDate,0,COLUMN()),INDEX(MO_Common_QEndDate,0,COLUMN())),"N/A")</f>
        <v>N/A</v>
      </c>
      <c r="AT552" s="282" t="str">
        <f ca="1">IFERROR(CIQHI(MO.Ticker.CapIQ,"IQ_LASTSALEPRICE",INDEX(MO_SNA_FPStartDate,0,COLUMN()),INDEX(MO_Common_QEndDate,0,COLUMN())),"N/A")</f>
        <v>N/A</v>
      </c>
      <c r="AU552" s="282" t="str">
        <f ca="1">IFERROR(CIQHI(MO.Ticker.CapIQ,"IQ_LASTSALEPRICE",INDEX(MO_SNA_FPStartDate,0,COLUMN()),INDEX(MO_Common_QEndDate,0,COLUMN())),"N/A")</f>
        <v>N/A</v>
      </c>
      <c r="AV552" s="282" t="str">
        <f ca="1">IFERROR(CIQHI(MO.Ticker.CapIQ,"IQ_LASTSALEPRICE",INDEX(MO_SNA_FPStartDate,0,COLUMN()),INDEX(MO_Common_QEndDate,0,COLUMN())),"N/A")</f>
        <v>N/A</v>
      </c>
      <c r="AW552" s="282" t="str">
        <f ca="1">IFERROR(CIQHI(MO.Ticker.CapIQ,"IQ_LASTSALEPRICE",INDEX(MO_SNA_FPStartDate,0,COLUMN()),INDEX(MO_Common_QEndDate,0,COLUMN())),"N/A")</f>
        <v>N/A</v>
      </c>
      <c r="AX552" s="282" t="str">
        <f ca="1">IFERROR(CIQHI(MO.Ticker.CapIQ,"IQ_LASTSALEPRICE",INDEX(MO_SNA_FPStartDate,0,COLUMN()),INDEX(MO_Common_QEndDate,0,COLUMN())),"N/A")</f>
        <v>N/A</v>
      </c>
      <c r="AY552" s="282" t="str">
        <f ca="1">IFERROR(CIQHI(MO.Ticker.CapIQ,"IQ_LASTSALEPRICE",INDEX(MO_SNA_FPStartDate,0,COLUMN()),INDEX(MO_Common_QEndDate,0,COLUMN())),"N/A")</f>
        <v>N/A</v>
      </c>
      <c r="AZ552" s="282" t="str">
        <f ca="1">IFERROR(CIQHI(MO.Ticker.CapIQ,"IQ_LASTSALEPRICE",INDEX(MO_SNA_FPStartDate,0,COLUMN()),INDEX(MO_Common_QEndDate,0,COLUMN())),"N/A")</f>
        <v>N/A</v>
      </c>
      <c r="BA552" s="282" t="str">
        <f ca="1">IFERROR(CIQHI(MO.Ticker.CapIQ,"IQ_LASTSALEPRICE",INDEX(MO_SNA_FPStartDate,0,COLUMN()),INDEX(MO_Common_QEndDate,0,COLUMN())),"N/A")</f>
        <v>N/A</v>
      </c>
      <c r="BB552" s="282" t="str">
        <f ca="1">IFERROR(CIQHI(MO.Ticker.CapIQ,"IQ_LASTSALEPRICE",INDEX(MO_SNA_FPStartDate,0,COLUMN()),INDEX(MO_Common_QEndDate,0,COLUMN())),"N/A")</f>
        <v>N/A</v>
      </c>
      <c r="BC552" s="282" t="str">
        <f ca="1">IFERROR(CIQHI(MO.Ticker.CapIQ,"IQ_LASTSALEPRICE",INDEX(MO_SNA_FPStartDate,0,COLUMN()),INDEX(MO_Common_QEndDate,0,COLUMN())),"N/A")</f>
        <v>N/A</v>
      </c>
      <c r="BD552" s="282" t="str">
        <f ca="1">IFERROR(CIQHI(MO.Ticker.CapIQ,"IQ_LASTSALEPRICE",INDEX(MO_SNA_FPStartDate,0,COLUMN()),INDEX(MO_Common_QEndDate,0,COLUMN())),"N/A")</f>
        <v>N/A</v>
      </c>
      <c r="BE552" s="282" t="str">
        <f ca="1">IFERROR(CIQHI(MO.Ticker.CapIQ,"IQ_LASTSALEPRICE",INDEX(MO_SNA_FPStartDate,0,COLUMN()),INDEX(MO_Common_QEndDate,0,COLUMN())),"N/A")</f>
        <v>N/A</v>
      </c>
      <c r="BF552" s="282" t="str">
        <f ca="1">IFERROR(CIQHI(MO.Ticker.CapIQ,"IQ_LASTSALEPRICE",INDEX(MO_SNA_FPStartDate,0,COLUMN()),INDEX(MO_Common_QEndDate,0,COLUMN())),"N/A")</f>
        <v>N/A</v>
      </c>
      <c r="BG552" s="282" t="str">
        <f ca="1">IFERROR(CIQHI(MO.Ticker.CapIQ,"IQ_LASTSALEPRICE",INDEX(MO_SNA_FPStartDate,0,COLUMN()),INDEX(MO_Common_QEndDate,0,COLUMN())),"N/A")</f>
        <v>N/A</v>
      </c>
      <c r="BH552" s="560" t="str">
        <f ca="1">IFERROR(CIQHI(MO.Ticker.CapIQ,"IQ_LASTSALEPRICE",INDEX(MO_SNA_FPStartDate,0,COLUMN()),INDEX(MO_Common_QEndDate,0,COLUMN())),"N/A")</f>
        <v>N/A</v>
      </c>
      <c r="BI552" s="282" t="str">
        <f ca="1">IFERROR(CIQHI(MO.Ticker.CapIQ,"IQ_LASTSALEPRICE",INDEX(MO_SNA_FPStartDate,0,COLUMN()),INDEX(MO_Common_QEndDate,0,COLUMN())),"N/A")</f>
        <v>N/A</v>
      </c>
      <c r="BJ552" s="282" t="str">
        <f ca="1">IFERROR(CIQHI(MO.Ticker.CapIQ,"IQ_LASTSALEPRICE",INDEX(MO_SNA_FPStartDate,0,COLUMN()),INDEX(MO_Common_QEndDate,0,COLUMN())),"N/A")</f>
        <v>N/A</v>
      </c>
      <c r="BK552" s="282" t="str">
        <f ca="1">IFERROR(CIQHI(MO.Ticker.CapIQ,"IQ_LASTSALEPRICE",INDEX(MO_SNA_FPStartDate,0,COLUMN()),INDEX(MO_Common_QEndDate,0,COLUMN())),"N/A")</f>
        <v>N/A</v>
      </c>
      <c r="BL552" s="282" t="str">
        <f ca="1">IFERROR(CIQHI(MO.Ticker.CapIQ,"IQ_LASTSALEPRICE",INDEX(MO_SNA_FPStartDate,0,COLUMN()),INDEX(MO_Common_QEndDate,0,COLUMN())),"N/A")</f>
        <v>N/A</v>
      </c>
      <c r="BM552" s="282" t="str">
        <f ca="1">IFERROR(CIQHI(MO.Ticker.CapIQ,"IQ_LASTSALEPRICE",INDEX(MO_SNA_FPStartDate,0,COLUMN()),INDEX(MO_Common_QEndDate,0,COLUMN())),"N/A")</f>
        <v>N/A</v>
      </c>
      <c r="BN552" s="282" t="str">
        <f ca="1">IFERROR(CIQHI(MO.Ticker.CapIQ,"IQ_LASTSALEPRICE",INDEX(MO_SNA_FPStartDate,0,COLUMN()),INDEX(MO_Common_QEndDate,0,COLUMN())),"N/A")</f>
        <v>N/A</v>
      </c>
      <c r="BO552" s="282" t="str">
        <f ca="1">IFERROR(CIQHI(MO.Ticker.CapIQ,"IQ_LASTSALEPRICE",INDEX(MO_SNA_FPStartDate,0,COLUMN()),INDEX(MO_Common_QEndDate,0,COLUMN())),"N/A")</f>
        <v>N/A</v>
      </c>
      <c r="BP552" s="282" t="str">
        <f ca="1">IFERROR(CIQHI(MO.Ticker.CapIQ,"IQ_LASTSALEPRICE",INDEX(MO_SNA_FPStartDate,0,COLUMN()),INDEX(MO_Common_QEndDate,0,COLUMN())),"N/A")</f>
        <v>N/A</v>
      </c>
      <c r="BQ552" s="282" t="str">
        <f ca="1">IFERROR(CIQHI(MO.Ticker.CapIQ,"IQ_LASTSALEPRICE",INDEX(MO_SNA_FPStartDate,0,COLUMN()),INDEX(MO_Common_QEndDate,0,COLUMN())),"N/A")</f>
        <v>N/A</v>
      </c>
      <c r="BR552" s="284" t="str">
        <f ca="1">IFERROR(CIQHI(MO.Ticker.CapIQ,"IQ_LASTSALEPRICE",INDEX(MO_SNA_FPStartDate,0,COLUMN()),INDEX(MO_Common_QEndDate,0,COLUMN())),"N/A")</f>
        <v>N/A</v>
      </c>
      <c r="BS552" s="323"/>
    </row>
    <row r="553" spans="1:71" s="285" customFormat="1" ht="15" hidden="1" outlineLevel="1">
      <c r="A553" s="286" t="s">
        <v>213</v>
      </c>
      <c r="B553" s="282"/>
      <c r="C553" s="283" t="str">
        <f ca="1">IFERROR(FDS(MO.Ticker.FactSet,"P_PRICE_HIGH"&amp;"("&amp;INDEX(MO_SNA_FPStartDate,0,COLUMN())&amp;","&amp;INDEX(MO_Common_QEndDate,0,COLUMN())&amp;",,,,""PRICE"",""CLOSE"")"),"N/A")</f>
        <v>N/A</v>
      </c>
      <c r="D553" s="283" t="str">
        <f ca="1">IFERROR(FDS(MO.Ticker.FactSet,"P_PRICE_HIGH"&amp;"("&amp;INDEX(MO_SNA_FPStartDate,0,COLUMN())&amp;","&amp;INDEX(MO_Common_QEndDate,0,COLUMN())&amp;",,,,""PRICE"",""CLOSE"")"),"N/A")</f>
        <v>N/A</v>
      </c>
      <c r="E553" s="282" t="str">
        <f ca="1">IFERROR(FDS(MO.Ticker.FactSet,"P_PRICE_HIGH"&amp;"("&amp;INDEX(MO_SNA_FPStartDate,0,COLUMN())&amp;","&amp;INDEX(MO_Common_QEndDate,0,COLUMN())&amp;",,,,""PRICE"",""CLOSE"")"),"N/A")</f>
        <v>N/A</v>
      </c>
      <c r="F553" s="282" t="str">
        <f ca="1">IFERROR(FDS(MO.Ticker.FactSet,"P_PRICE_HIGH"&amp;"("&amp;INDEX(MO_SNA_FPStartDate,0,COLUMN())&amp;","&amp;INDEX(MO_Common_QEndDate,0,COLUMN())&amp;",,,,""PRICE"",""CLOSE"")"),"N/A")</f>
        <v>N/A</v>
      </c>
      <c r="G553" s="282" t="str">
        <f ca="1">IFERROR(FDS(MO.Ticker.FactSet,"P_PRICE_HIGH"&amp;"("&amp;INDEX(MO_SNA_FPStartDate,0,COLUMN())&amp;","&amp;INDEX(MO_Common_QEndDate,0,COLUMN())&amp;",,,,""PRICE"",""CLOSE"")"),"N/A")</f>
        <v>N/A</v>
      </c>
      <c r="H553" s="282" t="str">
        <f ca="1">IFERROR(FDS(MO.Ticker.FactSet,"P_PRICE_HIGH"&amp;"("&amp;INDEX(MO_SNA_FPStartDate,0,COLUMN())&amp;","&amp;INDEX(MO_Common_QEndDate,0,COLUMN())&amp;",,,,""PRICE"",""CLOSE"")"),"N/A")</f>
        <v>N/A</v>
      </c>
      <c r="I553" s="282" t="str">
        <f ca="1">IFERROR(FDS(MO.Ticker.FactSet,"P_PRICE_HIGH"&amp;"("&amp;INDEX(MO_SNA_FPStartDate,0,COLUMN())&amp;","&amp;INDEX(MO_Common_QEndDate,0,COLUMN())&amp;",,,,""PRICE"",""CLOSE"")"),"N/A")</f>
        <v>N/A</v>
      </c>
      <c r="J553" s="282" t="str">
        <f ca="1">IFERROR(FDS(MO.Ticker.FactSet,"P_PRICE_HIGH"&amp;"("&amp;INDEX(MO_SNA_FPStartDate,0,COLUMN())&amp;","&amp;INDEX(MO_Common_QEndDate,0,COLUMN())&amp;",,,,""PRICE"",""CLOSE"")"),"N/A")</f>
        <v>N/A</v>
      </c>
      <c r="K553" s="282" t="str">
        <f ca="1">IFERROR(FDS(MO.Ticker.FactSet,"P_PRICE_HIGH"&amp;"("&amp;INDEX(MO_SNA_FPStartDate,0,COLUMN())&amp;","&amp;INDEX(MO_Common_QEndDate,0,COLUMN())&amp;",,,,""PRICE"",""CLOSE"")"),"N/A")</f>
        <v>N/A</v>
      </c>
      <c r="L553" s="282" t="str">
        <f ca="1">IFERROR(FDS(MO.Ticker.FactSet,"P_PRICE_HIGH"&amp;"("&amp;INDEX(MO_SNA_FPStartDate,0,COLUMN())&amp;","&amp;INDEX(MO_Common_QEndDate,0,COLUMN())&amp;",,,,""PRICE"",""CLOSE"")"),"N/A")</f>
        <v>N/A</v>
      </c>
      <c r="M553" s="282" t="str">
        <f ca="1">IFERROR(FDS(MO.Ticker.FactSet,"P_PRICE_HIGH"&amp;"("&amp;INDEX(MO_SNA_FPStartDate,0,COLUMN())&amp;","&amp;INDEX(MO_Common_QEndDate,0,COLUMN())&amp;",,,,""PRICE"",""CLOSE"")"),"N/A")</f>
        <v>N/A</v>
      </c>
      <c r="N553" s="282" t="str">
        <f ca="1">IFERROR(FDS(MO.Ticker.FactSet,"P_PRICE_HIGH"&amp;"("&amp;INDEX(MO_SNA_FPStartDate,0,COLUMN())&amp;","&amp;INDEX(MO_Common_QEndDate,0,COLUMN())&amp;",,,,""PRICE"",""CLOSE"")"),"N/A")</f>
        <v>N/A</v>
      </c>
      <c r="O553" s="282" t="str">
        <f ca="1">IFERROR(FDS(MO.Ticker.FactSet,"P_PRICE_HIGH"&amp;"("&amp;INDEX(MO_SNA_FPStartDate,0,COLUMN())&amp;","&amp;INDEX(MO_Common_QEndDate,0,COLUMN())&amp;",,,,""PRICE"",""CLOSE"")"),"N/A")</f>
        <v>N/A</v>
      </c>
      <c r="P553" s="282" t="str">
        <f ca="1">IFERROR(FDS(MO.Ticker.FactSet,"P_PRICE_HIGH"&amp;"("&amp;INDEX(MO_SNA_FPStartDate,0,COLUMN())&amp;","&amp;INDEX(MO_Common_QEndDate,0,COLUMN())&amp;",,,,""PRICE"",""CLOSE"")"),"N/A")</f>
        <v>N/A</v>
      </c>
      <c r="Q553" s="282" t="str">
        <f ca="1">IFERROR(FDS(MO.Ticker.FactSet,"P_PRICE_HIGH"&amp;"("&amp;INDEX(MO_SNA_FPStartDate,0,COLUMN())&amp;","&amp;INDEX(MO_Common_QEndDate,0,COLUMN())&amp;",,,,""PRICE"",""CLOSE"")"),"N/A")</f>
        <v>N/A</v>
      </c>
      <c r="R553" s="282" t="str">
        <f ca="1">IFERROR(FDS(MO.Ticker.FactSet,"P_PRICE_HIGH"&amp;"("&amp;INDEX(MO_SNA_FPStartDate,0,COLUMN())&amp;","&amp;INDEX(MO_Common_QEndDate,0,COLUMN())&amp;",,,,""PRICE"",""CLOSE"")"),"N/A")</f>
        <v>N/A</v>
      </c>
      <c r="S553" s="282" t="str">
        <f ca="1">IFERROR(FDS(MO.Ticker.FactSet,"P_PRICE_HIGH"&amp;"("&amp;INDEX(MO_SNA_FPStartDate,0,COLUMN())&amp;","&amp;INDEX(MO_Common_QEndDate,0,COLUMN())&amp;",,,,""PRICE"",""CLOSE"")"),"N/A")</f>
        <v>N/A</v>
      </c>
      <c r="T553" s="282" t="str">
        <f ca="1">IFERROR(FDS(MO.Ticker.FactSet,"P_PRICE_HIGH"&amp;"("&amp;INDEX(MO_SNA_FPStartDate,0,COLUMN())&amp;","&amp;INDEX(MO_Common_QEndDate,0,COLUMN())&amp;",,,,""PRICE"",""CLOSE"")"),"N/A")</f>
        <v>N/A</v>
      </c>
      <c r="U553" s="282" t="str">
        <f ca="1">IFERROR(FDS(MO.Ticker.FactSet,"P_PRICE_HIGH"&amp;"("&amp;INDEX(MO_SNA_FPStartDate,0,COLUMN())&amp;","&amp;INDEX(MO_Common_QEndDate,0,COLUMN())&amp;",,,,""PRICE"",""CLOSE"")"),"N/A")</f>
        <v>N/A</v>
      </c>
      <c r="V553" s="282" t="str">
        <f ca="1">IFERROR(FDS(MO.Ticker.FactSet,"P_PRICE_HIGH"&amp;"("&amp;INDEX(MO_SNA_FPStartDate,0,COLUMN())&amp;","&amp;INDEX(MO_Common_QEndDate,0,COLUMN())&amp;",,,,""PRICE"",""CLOSE"")"),"N/A")</f>
        <v>N/A</v>
      </c>
      <c r="W553" s="282" t="str">
        <f ca="1">IFERROR(FDS(MO.Ticker.FactSet,"P_PRICE_HIGH"&amp;"("&amp;INDEX(MO_SNA_FPStartDate,0,COLUMN())&amp;","&amp;INDEX(MO_Common_QEndDate,0,COLUMN())&amp;",,,,""PRICE"",""CLOSE"")"),"N/A")</f>
        <v>N/A</v>
      </c>
      <c r="X553" s="282" t="str">
        <f ca="1">IFERROR(FDS(MO.Ticker.FactSet,"P_PRICE_HIGH"&amp;"("&amp;INDEX(MO_SNA_FPStartDate,0,COLUMN())&amp;","&amp;INDEX(MO_Common_QEndDate,0,COLUMN())&amp;",,,,""PRICE"",""CLOSE"")"),"N/A")</f>
        <v>N/A</v>
      </c>
      <c r="Y553" s="282" t="str">
        <f ca="1">IFERROR(FDS(MO.Ticker.FactSet,"P_PRICE_HIGH"&amp;"("&amp;INDEX(MO_SNA_FPStartDate,0,COLUMN())&amp;","&amp;INDEX(MO_Common_QEndDate,0,COLUMN())&amp;",,,,""PRICE"",""CLOSE"")"),"N/A")</f>
        <v>N/A</v>
      </c>
      <c r="Z553" s="282" t="str">
        <f ca="1">IFERROR(FDS(MO.Ticker.FactSet,"P_PRICE_HIGH"&amp;"("&amp;INDEX(MO_SNA_FPStartDate,0,COLUMN())&amp;","&amp;INDEX(MO_Common_QEndDate,0,COLUMN())&amp;",,,,""PRICE"",""CLOSE"")"),"N/A")</f>
        <v>N/A</v>
      </c>
      <c r="AA553" s="282" t="str">
        <f ca="1">IFERROR(FDS(MO.Ticker.FactSet,"P_PRICE_HIGH"&amp;"("&amp;INDEX(MO_SNA_FPStartDate,0,COLUMN())&amp;","&amp;INDEX(MO_Common_QEndDate,0,COLUMN())&amp;",,,,""PRICE"",""CLOSE"")"),"N/A")</f>
        <v>N/A</v>
      </c>
      <c r="AB553" s="282" t="str">
        <f ca="1">IFERROR(FDS(MO.Ticker.FactSet,"P_PRICE_HIGH"&amp;"("&amp;INDEX(MO_SNA_FPStartDate,0,COLUMN())&amp;","&amp;INDEX(MO_Common_QEndDate,0,COLUMN())&amp;",,,,""PRICE"",""CLOSE"")"),"N/A")</f>
        <v>N/A</v>
      </c>
      <c r="AC553" s="282" t="str">
        <f ca="1">IFERROR(FDS(MO.Ticker.FactSet,"P_PRICE_HIGH"&amp;"("&amp;INDEX(MO_SNA_FPStartDate,0,COLUMN())&amp;","&amp;INDEX(MO_Common_QEndDate,0,COLUMN())&amp;",,,,""PRICE"",""CLOSE"")"),"N/A")</f>
        <v>N/A</v>
      </c>
      <c r="AD553" s="282" t="str">
        <f ca="1">IFERROR(FDS(MO.Ticker.FactSet,"P_PRICE_HIGH"&amp;"("&amp;INDEX(MO_SNA_FPStartDate,0,COLUMN())&amp;","&amp;INDEX(MO_Common_QEndDate,0,COLUMN())&amp;",,,,""PRICE"",""CLOSE"")"),"N/A")</f>
        <v>N/A</v>
      </c>
      <c r="AE553" s="282" t="str">
        <f ca="1">IFERROR(FDS(MO.Ticker.FactSet,"P_PRICE_HIGH"&amp;"("&amp;INDEX(MO_SNA_FPStartDate,0,COLUMN())&amp;","&amp;INDEX(MO_Common_QEndDate,0,COLUMN())&amp;",,,,""PRICE"",""CLOSE"")"),"N/A")</f>
        <v>N/A</v>
      </c>
      <c r="AF553" s="282" t="str">
        <f ca="1">IFERROR(FDS(MO.Ticker.FactSet,"P_PRICE_HIGH"&amp;"("&amp;INDEX(MO_SNA_FPStartDate,0,COLUMN())&amp;","&amp;INDEX(MO_Common_QEndDate,0,COLUMN())&amp;",,,,""PRICE"",""CLOSE"")"),"N/A")</f>
        <v>N/A</v>
      </c>
      <c r="AG553" s="282" t="str">
        <f ca="1">IFERROR(FDS(MO.Ticker.FactSet,"P_PRICE_HIGH"&amp;"("&amp;INDEX(MO_SNA_FPStartDate,0,COLUMN())&amp;","&amp;INDEX(MO_Common_QEndDate,0,COLUMN())&amp;",,,,""PRICE"",""CLOSE"")"),"N/A")</f>
        <v>N/A</v>
      </c>
      <c r="AH553" s="282" t="str">
        <f ca="1">IFERROR(FDS(MO.Ticker.FactSet,"P_PRICE_HIGH"&amp;"("&amp;INDEX(MO_SNA_FPStartDate,0,COLUMN())&amp;","&amp;INDEX(MO_Common_QEndDate,0,COLUMN())&amp;",,,,""PRICE"",""CLOSE"")"),"N/A")</f>
        <v>N/A</v>
      </c>
      <c r="AI553" s="282" t="str">
        <f ca="1">IFERROR(FDS(MO.Ticker.FactSet,"P_PRICE_HIGH"&amp;"("&amp;INDEX(MO_SNA_FPStartDate,0,COLUMN())&amp;","&amp;INDEX(MO_Common_QEndDate,0,COLUMN())&amp;",,,,""PRICE"",""CLOSE"")"),"N/A")</f>
        <v>N/A</v>
      </c>
      <c r="AJ553" s="282" t="str">
        <f ca="1">IFERROR(FDS(MO.Ticker.FactSet,"P_PRICE_HIGH"&amp;"("&amp;INDEX(MO_SNA_FPStartDate,0,COLUMN())&amp;","&amp;INDEX(MO_Common_QEndDate,0,COLUMN())&amp;",,,,""PRICE"",""CLOSE"")"),"N/A")</f>
        <v>N/A</v>
      </c>
      <c r="AK553" s="282" t="str">
        <f ca="1">IFERROR(FDS(MO.Ticker.FactSet,"P_PRICE_HIGH"&amp;"("&amp;INDEX(MO_SNA_FPStartDate,0,COLUMN())&amp;","&amp;INDEX(MO_Common_QEndDate,0,COLUMN())&amp;",,,,""PRICE"",""CLOSE"")"),"N/A")</f>
        <v>N/A</v>
      </c>
      <c r="AL553" s="282" t="str">
        <f ca="1">IFERROR(FDS(MO.Ticker.FactSet,"P_PRICE_HIGH"&amp;"("&amp;INDEX(MO_SNA_FPStartDate,0,COLUMN())&amp;","&amp;INDEX(MO_Common_QEndDate,0,COLUMN())&amp;",,,,""PRICE"",""CLOSE"")"),"N/A")</f>
        <v>N/A</v>
      </c>
      <c r="AM553" s="282" t="str">
        <f ca="1">IFERROR(FDS(MO.Ticker.FactSet,"P_PRICE_HIGH"&amp;"("&amp;INDEX(MO_SNA_FPStartDate,0,COLUMN())&amp;","&amp;INDEX(MO_Common_QEndDate,0,COLUMN())&amp;",,,,""PRICE"",""CLOSE"")"),"N/A")</f>
        <v>N/A</v>
      </c>
      <c r="AN553" s="282" t="str">
        <f ca="1">IFERROR(FDS(MO.Ticker.FactSet,"P_PRICE_HIGH"&amp;"("&amp;INDEX(MO_SNA_FPStartDate,0,COLUMN())&amp;","&amp;INDEX(MO_Common_QEndDate,0,COLUMN())&amp;",,,,""PRICE"",""CLOSE"")"),"N/A")</f>
        <v>N/A</v>
      </c>
      <c r="AO553" s="282" t="str">
        <f ca="1">IFERROR(FDS(MO.Ticker.FactSet,"P_PRICE_HIGH"&amp;"("&amp;INDEX(MO_SNA_FPStartDate,0,COLUMN())&amp;","&amp;INDEX(MO_Common_QEndDate,0,COLUMN())&amp;",,,,""PRICE"",""CLOSE"")"),"N/A")</f>
        <v>N/A</v>
      </c>
      <c r="AP553" s="282" t="str">
        <f ca="1">IFERROR(FDS(MO.Ticker.FactSet,"P_PRICE_HIGH"&amp;"("&amp;INDEX(MO_SNA_FPStartDate,0,COLUMN())&amp;","&amp;INDEX(MO_Common_QEndDate,0,COLUMN())&amp;",,,,""PRICE"",""CLOSE"")"),"N/A")</f>
        <v>N/A</v>
      </c>
      <c r="AQ553" s="282" t="str">
        <f ca="1">IFERROR(FDS(MO.Ticker.FactSet,"P_PRICE_HIGH"&amp;"("&amp;INDEX(MO_SNA_FPStartDate,0,COLUMN())&amp;","&amp;INDEX(MO_Common_QEndDate,0,COLUMN())&amp;",,,,""PRICE"",""CLOSE"")"),"N/A")</f>
        <v>N/A</v>
      </c>
      <c r="AR553" s="282" t="str">
        <f ca="1">IFERROR(FDS(MO.Ticker.FactSet,"P_PRICE_HIGH"&amp;"("&amp;INDEX(MO_SNA_FPStartDate,0,COLUMN())&amp;","&amp;INDEX(MO_Common_QEndDate,0,COLUMN())&amp;",,,,""PRICE"",""CLOSE"")"),"N/A")</f>
        <v>N/A</v>
      </c>
      <c r="AS553" s="282" t="str">
        <f ca="1">IFERROR(FDS(MO.Ticker.FactSet,"P_PRICE_HIGH"&amp;"("&amp;INDEX(MO_SNA_FPStartDate,0,COLUMN())&amp;","&amp;INDEX(MO_Common_QEndDate,0,COLUMN())&amp;",,,,""PRICE"",""CLOSE"")"),"N/A")</f>
        <v>N/A</v>
      </c>
      <c r="AT553" s="282" t="str">
        <f ca="1">IFERROR(FDS(MO.Ticker.FactSet,"P_PRICE_HIGH"&amp;"("&amp;INDEX(MO_SNA_FPStartDate,0,COLUMN())&amp;","&amp;INDEX(MO_Common_QEndDate,0,COLUMN())&amp;",,,,""PRICE"",""CLOSE"")"),"N/A")</f>
        <v>N/A</v>
      </c>
      <c r="AU553" s="282" t="str">
        <f ca="1">IFERROR(FDS(MO.Ticker.FactSet,"P_PRICE_HIGH"&amp;"("&amp;INDEX(MO_SNA_FPStartDate,0,COLUMN())&amp;","&amp;INDEX(MO_Common_QEndDate,0,COLUMN())&amp;",,,,""PRICE"",""CLOSE"")"),"N/A")</f>
        <v>N/A</v>
      </c>
      <c r="AV553" s="282" t="str">
        <f ca="1">IFERROR(FDS(MO.Ticker.FactSet,"P_PRICE_HIGH"&amp;"("&amp;INDEX(MO_SNA_FPStartDate,0,COLUMN())&amp;","&amp;INDEX(MO_Common_QEndDate,0,COLUMN())&amp;",,,,""PRICE"",""CLOSE"")"),"N/A")</f>
        <v>N/A</v>
      </c>
      <c r="AW553" s="282" t="str">
        <f ca="1">IFERROR(FDS(MO.Ticker.FactSet,"P_PRICE_HIGH"&amp;"("&amp;INDEX(MO_SNA_FPStartDate,0,COLUMN())&amp;","&amp;INDEX(MO_Common_QEndDate,0,COLUMN())&amp;",,,,""PRICE"",""CLOSE"")"),"N/A")</f>
        <v>N/A</v>
      </c>
      <c r="AX553" s="282" t="str">
        <f ca="1">IFERROR(FDS(MO.Ticker.FactSet,"P_PRICE_HIGH"&amp;"("&amp;INDEX(MO_SNA_FPStartDate,0,COLUMN())&amp;","&amp;INDEX(MO_Common_QEndDate,0,COLUMN())&amp;",,,,""PRICE"",""CLOSE"")"),"N/A")</f>
        <v>N/A</v>
      </c>
      <c r="AY553" s="282" t="str">
        <f ca="1">IFERROR(FDS(MO.Ticker.FactSet,"P_PRICE_HIGH"&amp;"("&amp;INDEX(MO_SNA_FPStartDate,0,COLUMN())&amp;","&amp;INDEX(MO_Common_QEndDate,0,COLUMN())&amp;",,,,""PRICE"",""CLOSE"")"),"N/A")</f>
        <v>N/A</v>
      </c>
      <c r="AZ553" s="282" t="str">
        <f ca="1">IFERROR(FDS(MO.Ticker.FactSet,"P_PRICE_HIGH"&amp;"("&amp;INDEX(MO_SNA_FPStartDate,0,COLUMN())&amp;","&amp;INDEX(MO_Common_QEndDate,0,COLUMN())&amp;",,,,""PRICE"",""CLOSE"")"),"N/A")</f>
        <v>N/A</v>
      </c>
      <c r="BA553" s="282" t="str">
        <f ca="1">IFERROR(FDS(MO.Ticker.FactSet,"P_PRICE_HIGH"&amp;"("&amp;INDEX(MO_SNA_FPStartDate,0,COLUMN())&amp;","&amp;INDEX(MO_Common_QEndDate,0,COLUMN())&amp;",,,,""PRICE"",""CLOSE"")"),"N/A")</f>
        <v>N/A</v>
      </c>
      <c r="BB553" s="282" t="str">
        <f ca="1">IFERROR(FDS(MO.Ticker.FactSet,"P_PRICE_HIGH"&amp;"("&amp;INDEX(MO_SNA_FPStartDate,0,COLUMN())&amp;","&amp;INDEX(MO_Common_QEndDate,0,COLUMN())&amp;",,,,""PRICE"",""CLOSE"")"),"N/A")</f>
        <v>N/A</v>
      </c>
      <c r="BC553" s="282" t="str">
        <f ca="1">IFERROR(FDS(MO.Ticker.FactSet,"P_PRICE_HIGH"&amp;"("&amp;INDEX(MO_SNA_FPStartDate,0,COLUMN())&amp;","&amp;INDEX(MO_Common_QEndDate,0,COLUMN())&amp;",,,,""PRICE"",""CLOSE"")"),"N/A")</f>
        <v>N/A</v>
      </c>
      <c r="BD553" s="282" t="str">
        <f ca="1">IFERROR(FDS(MO.Ticker.FactSet,"P_PRICE_HIGH"&amp;"("&amp;INDEX(MO_SNA_FPStartDate,0,COLUMN())&amp;","&amp;INDEX(MO_Common_QEndDate,0,COLUMN())&amp;",,,,""PRICE"",""CLOSE"")"),"N/A")</f>
        <v>N/A</v>
      </c>
      <c r="BE553" s="282" t="str">
        <f ca="1">IFERROR(FDS(MO.Ticker.FactSet,"P_PRICE_HIGH"&amp;"("&amp;INDEX(MO_SNA_FPStartDate,0,COLUMN())&amp;","&amp;INDEX(MO_Common_QEndDate,0,COLUMN())&amp;",,,,""PRICE"",""CLOSE"")"),"N/A")</f>
        <v>N/A</v>
      </c>
      <c r="BF553" s="282" t="str">
        <f ca="1">IFERROR(FDS(MO.Ticker.FactSet,"P_PRICE_HIGH"&amp;"("&amp;INDEX(MO_SNA_FPStartDate,0,COLUMN())&amp;","&amp;INDEX(MO_Common_QEndDate,0,COLUMN())&amp;",,,,""PRICE"",""CLOSE"")"),"N/A")</f>
        <v>N/A</v>
      </c>
      <c r="BG553" s="282" t="str">
        <f ca="1">IFERROR(FDS(MO.Ticker.FactSet,"P_PRICE_HIGH"&amp;"("&amp;INDEX(MO_SNA_FPStartDate,0,COLUMN())&amp;","&amp;INDEX(MO_Common_QEndDate,0,COLUMN())&amp;",,,,""PRICE"",""CLOSE"")"),"N/A")</f>
        <v>N/A</v>
      </c>
      <c r="BH553" s="560" t="str">
        <f ca="1">IFERROR(FDS(MO.Ticker.FactSet,"P_PRICE_HIGH"&amp;"("&amp;INDEX(MO_SNA_FPStartDate,0,COLUMN())&amp;","&amp;INDEX(MO_Common_QEndDate,0,COLUMN())&amp;",,,,""PRICE"",""CLOSE"")"),"N/A")</f>
        <v>N/A</v>
      </c>
      <c r="BI553" s="282" t="str">
        <f ca="1">IFERROR(FDS(MO.Ticker.FactSet,"P_PRICE_HIGH"&amp;"("&amp;INDEX(MO_SNA_FPStartDate,0,COLUMN())&amp;","&amp;INDEX(MO_Common_QEndDate,0,COLUMN())&amp;",,,,""PRICE"",""CLOSE"")"),"N/A")</f>
        <v>N/A</v>
      </c>
      <c r="BJ553" s="282" t="str">
        <f ca="1">IFERROR(FDS(MO.Ticker.FactSet,"P_PRICE_HIGH"&amp;"("&amp;INDEX(MO_SNA_FPStartDate,0,COLUMN())&amp;","&amp;INDEX(MO_Common_QEndDate,0,COLUMN())&amp;",,,,""PRICE"",""CLOSE"")"),"N/A")</f>
        <v>N/A</v>
      </c>
      <c r="BK553" s="282" t="str">
        <f ca="1">IFERROR(FDS(MO.Ticker.FactSet,"P_PRICE_HIGH"&amp;"("&amp;INDEX(MO_SNA_FPStartDate,0,COLUMN())&amp;","&amp;INDEX(MO_Common_QEndDate,0,COLUMN())&amp;",,,,""PRICE"",""CLOSE"")"),"N/A")</f>
        <v>N/A</v>
      </c>
      <c r="BL553" s="282" t="str">
        <f ca="1">IFERROR(FDS(MO.Ticker.FactSet,"P_PRICE_HIGH"&amp;"("&amp;INDEX(MO_SNA_FPStartDate,0,COLUMN())&amp;","&amp;INDEX(MO_Common_QEndDate,0,COLUMN())&amp;",,,,""PRICE"",""CLOSE"")"),"N/A")</f>
        <v>N/A</v>
      </c>
      <c r="BM553" s="282" t="str">
        <f ca="1">IFERROR(FDS(MO.Ticker.FactSet,"P_PRICE_HIGH"&amp;"("&amp;INDEX(MO_SNA_FPStartDate,0,COLUMN())&amp;","&amp;INDEX(MO_Common_QEndDate,0,COLUMN())&amp;",,,,""PRICE"",""CLOSE"")"),"N/A")</f>
        <v>N/A</v>
      </c>
      <c r="BN553" s="282" t="str">
        <f ca="1">IFERROR(FDS(MO.Ticker.FactSet,"P_PRICE_HIGH"&amp;"("&amp;INDEX(MO_SNA_FPStartDate,0,COLUMN())&amp;","&amp;INDEX(MO_Common_QEndDate,0,COLUMN())&amp;",,,,""PRICE"",""CLOSE"")"),"N/A")</f>
        <v>N/A</v>
      </c>
      <c r="BO553" s="282" t="str">
        <f ca="1">IFERROR(FDS(MO.Ticker.FactSet,"P_PRICE_HIGH"&amp;"("&amp;INDEX(MO_SNA_FPStartDate,0,COLUMN())&amp;","&amp;INDEX(MO_Common_QEndDate,0,COLUMN())&amp;",,,,""PRICE"",""CLOSE"")"),"N/A")</f>
        <v>N/A</v>
      </c>
      <c r="BP553" s="282" t="str">
        <f ca="1">IFERROR(FDS(MO.Ticker.FactSet,"P_PRICE_HIGH"&amp;"("&amp;INDEX(MO_SNA_FPStartDate,0,COLUMN())&amp;","&amp;INDEX(MO_Common_QEndDate,0,COLUMN())&amp;",,,,""PRICE"",""CLOSE"")"),"N/A")</f>
        <v>N/A</v>
      </c>
      <c r="BQ553" s="282" t="str">
        <f ca="1">IFERROR(FDS(MO.Ticker.FactSet,"P_PRICE_HIGH"&amp;"("&amp;INDEX(MO_SNA_FPStartDate,0,COLUMN())&amp;","&amp;INDEX(MO_Common_QEndDate,0,COLUMN())&amp;",,,,""PRICE"",""CLOSE"")"),"N/A")</f>
        <v>N/A</v>
      </c>
      <c r="BR553" s="284" t="str">
        <f ca="1">IFERROR(FDS(MO.Ticker.FactSet,"P_PRICE_HIGH"&amp;"("&amp;INDEX(MO_SNA_FPStartDate,0,COLUMN())&amp;","&amp;INDEX(MO_Common_QEndDate,0,COLUMN())&amp;",,,,""PRICE"",""CLOSE"")"),"N/A")</f>
        <v>N/A</v>
      </c>
      <c r="BS553" s="323"/>
    </row>
    <row r="554" spans="1:71" s="285" customFormat="1" ht="15" hidden="1" outlineLevel="1">
      <c r="A554" s="286" t="s">
        <v>415</v>
      </c>
      <c r="B554" s="282"/>
      <c r="C554" s="283" t="str">
        <f ca="1">IFERROR(_xll.TR(MO.Ticker.Thomson,"MAX(TR.Pricehigh)","sdate:#1 edate:#2",,INDEX(MO_SNA_FPStartDate,0,COLUMN()),INDEX(MO_Common_QEndDate,0,COLUMN())),"N/A")</f>
        <v>N/A</v>
      </c>
      <c r="D554" s="283" t="str">
        <f ca="1">IFERROR(_xll.TR(MO.Ticker.Thomson,"MAX(TR.Pricehigh)","sdate:#1 edate:#2",,INDEX(MO_SNA_FPStartDate,0,COLUMN()),INDEX(MO_Common_QEndDate,0,COLUMN())),"N/A")</f>
        <v>N/A</v>
      </c>
      <c r="E554" s="282" t="str">
        <f ca="1">IFERROR(_xll.TR(MO.Ticker.Thomson,"MAX(TR.Pricehigh)","sdate:#1 edate:#2",,INDEX(MO_SNA_FPStartDate,0,COLUMN()),INDEX(MO_Common_QEndDate,0,COLUMN())),"N/A")</f>
        <v>N/A</v>
      </c>
      <c r="F554" s="282" t="str">
        <f ca="1">IFERROR(_xll.TR(MO.Ticker.Thomson,"MAX(TR.Pricehigh)","sdate:#1 edate:#2",,INDEX(MO_SNA_FPStartDate,0,COLUMN()),INDEX(MO_Common_QEndDate,0,COLUMN())),"N/A")</f>
        <v>N/A</v>
      </c>
      <c r="G554" s="282" t="str">
        <f ca="1">IFERROR(_xll.TR(MO.Ticker.Thomson,"MAX(TR.Pricehigh)","sdate:#1 edate:#2",,INDEX(MO_SNA_FPStartDate,0,COLUMN()),INDEX(MO_Common_QEndDate,0,COLUMN())),"N/A")</f>
        <v>N/A</v>
      </c>
      <c r="H554" s="282" t="str">
        <f ca="1">IFERROR(_xll.TR(MO.Ticker.Thomson,"MAX(TR.Pricehigh)","sdate:#1 edate:#2",,INDEX(MO_SNA_FPStartDate,0,COLUMN()),INDEX(MO_Common_QEndDate,0,COLUMN())),"N/A")</f>
        <v>N/A</v>
      </c>
      <c r="I554" s="282" t="str">
        <f ca="1">IFERROR(_xll.TR(MO.Ticker.Thomson,"MAX(TR.Pricehigh)","sdate:#1 edate:#2",,INDEX(MO_SNA_FPStartDate,0,COLUMN()),INDEX(MO_Common_QEndDate,0,COLUMN())),"N/A")</f>
        <v>N/A</v>
      </c>
      <c r="J554" s="282" t="str">
        <f ca="1">IFERROR(_xll.TR(MO.Ticker.Thomson,"MAX(TR.Pricehigh)","sdate:#1 edate:#2",,INDEX(MO_SNA_FPStartDate,0,COLUMN()),INDEX(MO_Common_QEndDate,0,COLUMN())),"N/A")</f>
        <v>N/A</v>
      </c>
      <c r="K554" s="282" t="str">
        <f ca="1">IFERROR(_xll.TR(MO.Ticker.Thomson,"MAX(TR.Pricehigh)","sdate:#1 edate:#2",,INDEX(MO_SNA_FPStartDate,0,COLUMN()),INDEX(MO_Common_QEndDate,0,COLUMN())),"N/A")</f>
        <v>N/A</v>
      </c>
      <c r="L554" s="282" t="str">
        <f ca="1">IFERROR(_xll.TR(MO.Ticker.Thomson,"MAX(TR.Pricehigh)","sdate:#1 edate:#2",,INDEX(MO_SNA_FPStartDate,0,COLUMN()),INDEX(MO_Common_QEndDate,0,COLUMN())),"N/A")</f>
        <v>N/A</v>
      </c>
      <c r="M554" s="282" t="str">
        <f ca="1">IFERROR(_xll.TR(MO.Ticker.Thomson,"MAX(TR.Pricehigh)","sdate:#1 edate:#2",,INDEX(MO_SNA_FPStartDate,0,COLUMN()),INDEX(MO_Common_QEndDate,0,COLUMN())),"N/A")</f>
        <v>N/A</v>
      </c>
      <c r="N554" s="282" t="str">
        <f ca="1">IFERROR(_xll.TR(MO.Ticker.Thomson,"MAX(TR.Pricehigh)","sdate:#1 edate:#2",,INDEX(MO_SNA_FPStartDate,0,COLUMN()),INDEX(MO_Common_QEndDate,0,COLUMN())),"N/A")</f>
        <v>N/A</v>
      </c>
      <c r="O554" s="282" t="str">
        <f ca="1">IFERROR(_xll.TR(MO.Ticker.Thomson,"MAX(TR.Pricehigh)","sdate:#1 edate:#2",,INDEX(MO_SNA_FPStartDate,0,COLUMN()),INDEX(MO_Common_QEndDate,0,COLUMN())),"N/A")</f>
        <v>N/A</v>
      </c>
      <c r="P554" s="282" t="str">
        <f ca="1">IFERROR(_xll.TR(MO.Ticker.Thomson,"MAX(TR.Pricehigh)","sdate:#1 edate:#2",,INDEX(MO_SNA_FPStartDate,0,COLUMN()),INDEX(MO_Common_QEndDate,0,COLUMN())),"N/A")</f>
        <v>N/A</v>
      </c>
      <c r="Q554" s="282" t="str">
        <f ca="1">IFERROR(_xll.TR(MO.Ticker.Thomson,"MAX(TR.Pricehigh)","sdate:#1 edate:#2",,INDEX(MO_SNA_FPStartDate,0,COLUMN()),INDEX(MO_Common_QEndDate,0,COLUMN())),"N/A")</f>
        <v>N/A</v>
      </c>
      <c r="R554" s="282" t="str">
        <f ca="1">IFERROR(_xll.TR(MO.Ticker.Thomson,"MAX(TR.Pricehigh)","sdate:#1 edate:#2",,INDEX(MO_SNA_FPStartDate,0,COLUMN()),INDEX(MO_Common_QEndDate,0,COLUMN())),"N/A")</f>
        <v>N/A</v>
      </c>
      <c r="S554" s="282" t="str">
        <f ca="1">IFERROR(_xll.TR(MO.Ticker.Thomson,"MAX(TR.Pricehigh)","sdate:#1 edate:#2",,INDEX(MO_SNA_FPStartDate,0,COLUMN()),INDEX(MO_Common_QEndDate,0,COLUMN())),"N/A")</f>
        <v>N/A</v>
      </c>
      <c r="T554" s="282" t="str">
        <f ca="1">IFERROR(_xll.TR(MO.Ticker.Thomson,"MAX(TR.Pricehigh)","sdate:#1 edate:#2",,INDEX(MO_SNA_FPStartDate,0,COLUMN()),INDEX(MO_Common_QEndDate,0,COLUMN())),"N/A")</f>
        <v>N/A</v>
      </c>
      <c r="U554" s="282" t="str">
        <f ca="1">IFERROR(_xll.TR(MO.Ticker.Thomson,"MAX(TR.Pricehigh)","sdate:#1 edate:#2",,INDEX(MO_SNA_FPStartDate,0,COLUMN()),INDEX(MO_Common_QEndDate,0,COLUMN())),"N/A")</f>
        <v>N/A</v>
      </c>
      <c r="V554" s="282" t="str">
        <f ca="1">IFERROR(_xll.TR(MO.Ticker.Thomson,"MAX(TR.Pricehigh)","sdate:#1 edate:#2",,INDEX(MO_SNA_FPStartDate,0,COLUMN()),INDEX(MO_Common_QEndDate,0,COLUMN())),"N/A")</f>
        <v>N/A</v>
      </c>
      <c r="W554" s="282" t="str">
        <f ca="1">IFERROR(_xll.TR(MO.Ticker.Thomson,"MAX(TR.Pricehigh)","sdate:#1 edate:#2",,INDEX(MO_SNA_FPStartDate,0,COLUMN()),INDEX(MO_Common_QEndDate,0,COLUMN())),"N/A")</f>
        <v>N/A</v>
      </c>
      <c r="X554" s="282" t="str">
        <f ca="1">IFERROR(_xll.TR(MO.Ticker.Thomson,"MAX(TR.Pricehigh)","sdate:#1 edate:#2",,INDEX(MO_SNA_FPStartDate,0,COLUMN()),INDEX(MO_Common_QEndDate,0,COLUMN())),"N/A")</f>
        <v>N/A</v>
      </c>
      <c r="Y554" s="282" t="str">
        <f ca="1">IFERROR(_xll.TR(MO.Ticker.Thomson,"MAX(TR.Pricehigh)","sdate:#1 edate:#2",,INDEX(MO_SNA_FPStartDate,0,COLUMN()),INDEX(MO_Common_QEndDate,0,COLUMN())),"N/A")</f>
        <v>N/A</v>
      </c>
      <c r="Z554" s="282" t="str">
        <f ca="1">IFERROR(_xll.TR(MO.Ticker.Thomson,"MAX(TR.Pricehigh)","sdate:#1 edate:#2",,INDEX(MO_SNA_FPStartDate,0,COLUMN()),INDEX(MO_Common_QEndDate,0,COLUMN())),"N/A")</f>
        <v>N/A</v>
      </c>
      <c r="AA554" s="282" t="str">
        <f ca="1">IFERROR(_xll.TR(MO.Ticker.Thomson,"MAX(TR.Pricehigh)","sdate:#1 edate:#2",,INDEX(MO_SNA_FPStartDate,0,COLUMN()),INDEX(MO_Common_QEndDate,0,COLUMN())),"N/A")</f>
        <v>N/A</v>
      </c>
      <c r="AB554" s="282" t="str">
        <f ca="1">IFERROR(_xll.TR(MO.Ticker.Thomson,"MAX(TR.Pricehigh)","sdate:#1 edate:#2",,INDEX(MO_SNA_FPStartDate,0,COLUMN()),INDEX(MO_Common_QEndDate,0,COLUMN())),"N/A")</f>
        <v>N/A</v>
      </c>
      <c r="AC554" s="282" t="str">
        <f ca="1">IFERROR(_xll.TR(MO.Ticker.Thomson,"MAX(TR.Pricehigh)","sdate:#1 edate:#2",,INDEX(MO_SNA_FPStartDate,0,COLUMN()),INDEX(MO_Common_QEndDate,0,COLUMN())),"N/A")</f>
        <v>N/A</v>
      </c>
      <c r="AD554" s="282" t="str">
        <f ca="1">IFERROR(_xll.TR(MO.Ticker.Thomson,"MAX(TR.Pricehigh)","sdate:#1 edate:#2",,INDEX(MO_SNA_FPStartDate,0,COLUMN()),INDEX(MO_Common_QEndDate,0,COLUMN())),"N/A")</f>
        <v>N/A</v>
      </c>
      <c r="AE554" s="282" t="str">
        <f ca="1">IFERROR(_xll.TR(MO.Ticker.Thomson,"MAX(TR.Pricehigh)","sdate:#1 edate:#2",,INDEX(MO_SNA_FPStartDate,0,COLUMN()),INDEX(MO_Common_QEndDate,0,COLUMN())),"N/A")</f>
        <v>N/A</v>
      </c>
      <c r="AF554" s="282" t="str">
        <f ca="1">IFERROR(_xll.TR(MO.Ticker.Thomson,"MAX(TR.Pricehigh)","sdate:#1 edate:#2",,INDEX(MO_SNA_FPStartDate,0,COLUMN()),INDEX(MO_Common_QEndDate,0,COLUMN())),"N/A")</f>
        <v>N/A</v>
      </c>
      <c r="AG554" s="282" t="str">
        <f ca="1">IFERROR(_xll.TR(MO.Ticker.Thomson,"MAX(TR.Pricehigh)","sdate:#1 edate:#2",,INDEX(MO_SNA_FPStartDate,0,COLUMN()),INDEX(MO_Common_QEndDate,0,COLUMN())),"N/A")</f>
        <v>N/A</v>
      </c>
      <c r="AH554" s="282" t="str">
        <f ca="1">IFERROR(_xll.TR(MO.Ticker.Thomson,"MAX(TR.Pricehigh)","sdate:#1 edate:#2",,INDEX(MO_SNA_FPStartDate,0,COLUMN()),INDEX(MO_Common_QEndDate,0,COLUMN())),"N/A")</f>
        <v>N/A</v>
      </c>
      <c r="AI554" s="282" t="str">
        <f ca="1">IFERROR(_xll.TR(MO.Ticker.Thomson,"MAX(TR.Pricehigh)","sdate:#1 edate:#2",,INDEX(MO_SNA_FPStartDate,0,COLUMN()),INDEX(MO_Common_QEndDate,0,COLUMN())),"N/A")</f>
        <v>N/A</v>
      </c>
      <c r="AJ554" s="282" t="str">
        <f ca="1">IFERROR(_xll.TR(MO.Ticker.Thomson,"MAX(TR.Pricehigh)","sdate:#1 edate:#2",,INDEX(MO_SNA_FPStartDate,0,COLUMN()),INDEX(MO_Common_QEndDate,0,COLUMN())),"N/A")</f>
        <v>N/A</v>
      </c>
      <c r="AK554" s="282" t="str">
        <f ca="1">IFERROR(_xll.TR(MO.Ticker.Thomson,"MAX(TR.Pricehigh)","sdate:#1 edate:#2",,INDEX(MO_SNA_FPStartDate,0,COLUMN()),INDEX(MO_Common_QEndDate,0,COLUMN())),"N/A")</f>
        <v>N/A</v>
      </c>
      <c r="AL554" s="282" t="str">
        <f ca="1">IFERROR(_xll.TR(MO.Ticker.Thomson,"MAX(TR.Pricehigh)","sdate:#1 edate:#2",,INDEX(MO_SNA_FPStartDate,0,COLUMN()),INDEX(MO_Common_QEndDate,0,COLUMN())),"N/A")</f>
        <v>N/A</v>
      </c>
      <c r="AM554" s="282" t="str">
        <f ca="1">IFERROR(_xll.TR(MO.Ticker.Thomson,"MAX(TR.Pricehigh)","sdate:#1 edate:#2",,INDEX(MO_SNA_FPStartDate,0,COLUMN()),INDEX(MO_Common_QEndDate,0,COLUMN())),"N/A")</f>
        <v>N/A</v>
      </c>
      <c r="AN554" s="282" t="str">
        <f ca="1">IFERROR(_xll.TR(MO.Ticker.Thomson,"MAX(TR.Pricehigh)","sdate:#1 edate:#2",,INDEX(MO_SNA_FPStartDate,0,COLUMN()),INDEX(MO_Common_QEndDate,0,COLUMN())),"N/A")</f>
        <v>N/A</v>
      </c>
      <c r="AO554" s="282" t="str">
        <f ca="1">IFERROR(_xll.TR(MO.Ticker.Thomson,"MAX(TR.Pricehigh)","sdate:#1 edate:#2",,INDEX(MO_SNA_FPStartDate,0,COLUMN()),INDEX(MO_Common_QEndDate,0,COLUMN())),"N/A")</f>
        <v>N/A</v>
      </c>
      <c r="AP554" s="282" t="str">
        <f ca="1">IFERROR(_xll.TR(MO.Ticker.Thomson,"MAX(TR.Pricehigh)","sdate:#1 edate:#2",,INDEX(MO_SNA_FPStartDate,0,COLUMN()),INDEX(MO_Common_QEndDate,0,COLUMN())),"N/A")</f>
        <v>N/A</v>
      </c>
      <c r="AQ554" s="282" t="str">
        <f ca="1">IFERROR(_xll.TR(MO.Ticker.Thomson,"MAX(TR.Pricehigh)","sdate:#1 edate:#2",,INDEX(MO_SNA_FPStartDate,0,COLUMN()),INDEX(MO_Common_QEndDate,0,COLUMN())),"N/A")</f>
        <v>N/A</v>
      </c>
      <c r="AR554" s="282" t="str">
        <f ca="1">IFERROR(_xll.TR(MO.Ticker.Thomson,"MAX(TR.Pricehigh)","sdate:#1 edate:#2",,INDEX(MO_SNA_FPStartDate,0,COLUMN()),INDEX(MO_Common_QEndDate,0,COLUMN())),"N/A")</f>
        <v>N/A</v>
      </c>
      <c r="AS554" s="282" t="str">
        <f ca="1">IFERROR(_xll.TR(MO.Ticker.Thomson,"MAX(TR.Pricehigh)","sdate:#1 edate:#2",,INDEX(MO_SNA_FPStartDate,0,COLUMN()),INDEX(MO_Common_QEndDate,0,COLUMN())),"N/A")</f>
        <v>N/A</v>
      </c>
      <c r="AT554" s="282" t="str">
        <f ca="1">IFERROR(_xll.TR(MO.Ticker.Thomson,"MAX(TR.Pricehigh)","sdate:#1 edate:#2",,INDEX(MO_SNA_FPStartDate,0,COLUMN()),INDEX(MO_Common_QEndDate,0,COLUMN())),"N/A")</f>
        <v>N/A</v>
      </c>
      <c r="AU554" s="282" t="str">
        <f ca="1">IFERROR(_xll.TR(MO.Ticker.Thomson,"MAX(TR.Pricehigh)","sdate:#1 edate:#2",,INDEX(MO_SNA_FPStartDate,0,COLUMN()),INDEX(MO_Common_QEndDate,0,COLUMN())),"N/A")</f>
        <v>N/A</v>
      </c>
      <c r="AV554" s="282" t="str">
        <f ca="1">IFERROR(_xll.TR(MO.Ticker.Thomson,"MAX(TR.Pricehigh)","sdate:#1 edate:#2",,INDEX(MO_SNA_FPStartDate,0,COLUMN()),INDEX(MO_Common_QEndDate,0,COLUMN())),"N/A")</f>
        <v>N/A</v>
      </c>
      <c r="AW554" s="282" t="str">
        <f ca="1">IFERROR(_xll.TR(MO.Ticker.Thomson,"MAX(TR.Pricehigh)","sdate:#1 edate:#2",,INDEX(MO_SNA_FPStartDate,0,COLUMN()),INDEX(MO_Common_QEndDate,0,COLUMN())),"N/A")</f>
        <v>N/A</v>
      </c>
      <c r="AX554" s="282" t="str">
        <f ca="1">IFERROR(_xll.TR(MO.Ticker.Thomson,"MAX(TR.Pricehigh)","sdate:#1 edate:#2",,INDEX(MO_SNA_FPStartDate,0,COLUMN()),INDEX(MO_Common_QEndDate,0,COLUMN())),"N/A")</f>
        <v>N/A</v>
      </c>
      <c r="AY554" s="282" t="str">
        <f ca="1">IFERROR(_xll.TR(MO.Ticker.Thomson,"MAX(TR.Pricehigh)","sdate:#1 edate:#2",,INDEX(MO_SNA_FPStartDate,0,COLUMN()),INDEX(MO_Common_QEndDate,0,COLUMN())),"N/A")</f>
        <v>N/A</v>
      </c>
      <c r="AZ554" s="282" t="str">
        <f ca="1">IFERROR(_xll.TR(MO.Ticker.Thomson,"MAX(TR.Pricehigh)","sdate:#1 edate:#2",,INDEX(MO_SNA_FPStartDate,0,COLUMN()),INDEX(MO_Common_QEndDate,0,COLUMN())),"N/A")</f>
        <v>N/A</v>
      </c>
      <c r="BA554" s="282" t="str">
        <f ca="1">IFERROR(_xll.TR(MO.Ticker.Thomson,"MAX(TR.Pricehigh)","sdate:#1 edate:#2",,INDEX(MO_SNA_FPStartDate,0,COLUMN()),INDEX(MO_Common_QEndDate,0,COLUMN())),"N/A")</f>
        <v>N/A</v>
      </c>
      <c r="BB554" s="282" t="str">
        <f ca="1">IFERROR(_xll.TR(MO.Ticker.Thomson,"MAX(TR.Pricehigh)","sdate:#1 edate:#2",,INDEX(MO_SNA_FPStartDate,0,COLUMN()),INDEX(MO_Common_QEndDate,0,COLUMN())),"N/A")</f>
        <v>N/A</v>
      </c>
      <c r="BC554" s="282" t="str">
        <f ca="1">IFERROR(_xll.TR(MO.Ticker.Thomson,"MAX(TR.Pricehigh)","sdate:#1 edate:#2",,INDEX(MO_SNA_FPStartDate,0,COLUMN()),INDEX(MO_Common_QEndDate,0,COLUMN())),"N/A")</f>
        <v>N/A</v>
      </c>
      <c r="BD554" s="282" t="str">
        <f ca="1">IFERROR(_xll.TR(MO.Ticker.Thomson,"MAX(TR.Pricehigh)","sdate:#1 edate:#2",,INDEX(MO_SNA_FPStartDate,0,COLUMN()),INDEX(MO_Common_QEndDate,0,COLUMN())),"N/A")</f>
        <v>N/A</v>
      </c>
      <c r="BE554" s="282" t="str">
        <f ca="1">IFERROR(_xll.TR(MO.Ticker.Thomson,"MAX(TR.Pricehigh)","sdate:#1 edate:#2",,INDEX(MO_SNA_FPStartDate,0,COLUMN()),INDEX(MO_Common_QEndDate,0,COLUMN())),"N/A")</f>
        <v>N/A</v>
      </c>
      <c r="BF554" s="282" t="str">
        <f ca="1">IFERROR(_xll.TR(MO.Ticker.Thomson,"MAX(TR.Pricehigh)","sdate:#1 edate:#2",,INDEX(MO_SNA_FPStartDate,0,COLUMN()),INDEX(MO_Common_QEndDate,0,COLUMN())),"N/A")</f>
        <v>N/A</v>
      </c>
      <c r="BG554" s="282" t="str">
        <f ca="1">IFERROR(_xll.TR(MO.Ticker.Thomson,"MAX(TR.Pricehigh)","sdate:#1 edate:#2",,INDEX(MO_SNA_FPStartDate,0,COLUMN()),INDEX(MO_Common_QEndDate,0,COLUMN())),"N/A")</f>
        <v>N/A</v>
      </c>
      <c r="BH554" s="560" t="str">
        <f ca="1">IFERROR(_xll.TR(MO.Ticker.Thomson,"MAX(TR.Pricehigh)","sdate:#1 edate:#2",,INDEX(MO_SNA_FPStartDate,0,COLUMN()),INDEX(MO_Common_QEndDate,0,COLUMN())),"N/A")</f>
        <v>N/A</v>
      </c>
      <c r="BI554" s="282" t="str">
        <f ca="1">IFERROR(_xll.TR(MO.Ticker.Thomson,"MAX(TR.Pricehigh)","sdate:#1 edate:#2",,INDEX(MO_SNA_FPStartDate,0,COLUMN()),INDEX(MO_Common_QEndDate,0,COLUMN())),"N/A")</f>
        <v>N/A</v>
      </c>
      <c r="BJ554" s="282" t="str">
        <f ca="1">IFERROR(_xll.TR(MO.Ticker.Thomson,"MAX(TR.Pricehigh)","sdate:#1 edate:#2",,INDEX(MO_SNA_FPStartDate,0,COLUMN()),INDEX(MO_Common_QEndDate,0,COLUMN())),"N/A")</f>
        <v>N/A</v>
      </c>
      <c r="BK554" s="282" t="str">
        <f ca="1">IFERROR(_xll.TR(MO.Ticker.Thomson,"MAX(TR.Pricehigh)","sdate:#1 edate:#2",,INDEX(MO_SNA_FPStartDate,0,COLUMN()),INDEX(MO_Common_QEndDate,0,COLUMN())),"N/A")</f>
        <v>N/A</v>
      </c>
      <c r="BL554" s="282" t="str">
        <f ca="1">IFERROR(_xll.TR(MO.Ticker.Thomson,"MAX(TR.Pricehigh)","sdate:#1 edate:#2",,INDEX(MO_SNA_FPStartDate,0,COLUMN()),INDEX(MO_Common_QEndDate,0,COLUMN())),"N/A")</f>
        <v>N/A</v>
      </c>
      <c r="BM554" s="282" t="str">
        <f ca="1">IFERROR(_xll.TR(MO.Ticker.Thomson,"MAX(TR.Pricehigh)","sdate:#1 edate:#2",,INDEX(MO_SNA_FPStartDate,0,COLUMN()),INDEX(MO_Common_QEndDate,0,COLUMN())),"N/A")</f>
        <v>N/A</v>
      </c>
      <c r="BN554" s="282" t="str">
        <f ca="1">IFERROR(_xll.TR(MO.Ticker.Thomson,"MAX(TR.Pricehigh)","sdate:#1 edate:#2",,INDEX(MO_SNA_FPStartDate,0,COLUMN()),INDEX(MO_Common_QEndDate,0,COLUMN())),"N/A")</f>
        <v>N/A</v>
      </c>
      <c r="BO554" s="282" t="str">
        <f ca="1">IFERROR(_xll.TR(MO.Ticker.Thomson,"MAX(TR.Pricehigh)","sdate:#1 edate:#2",,INDEX(MO_SNA_FPStartDate,0,COLUMN()),INDEX(MO_Common_QEndDate,0,COLUMN())),"N/A")</f>
        <v>N/A</v>
      </c>
      <c r="BP554" s="282" t="str">
        <f ca="1">IFERROR(_xll.TR(MO.Ticker.Thomson,"MAX(TR.Pricehigh)","sdate:#1 edate:#2",,INDEX(MO_SNA_FPStartDate,0,COLUMN()),INDEX(MO_Common_QEndDate,0,COLUMN())),"N/A")</f>
        <v>N/A</v>
      </c>
      <c r="BQ554" s="282" t="str">
        <f ca="1">IFERROR(_xll.TR(MO.Ticker.Thomson,"MAX(TR.Pricehigh)","sdate:#1 edate:#2",,INDEX(MO_SNA_FPStartDate,0,COLUMN()),INDEX(MO_Common_QEndDate,0,COLUMN())),"N/A")</f>
        <v>N/A</v>
      </c>
      <c r="BR554" s="284" t="str">
        <f ca="1">IFERROR(_xll.TR(MO.Ticker.Thomson,"MAX(TR.Pricehigh)","sdate:#1 edate:#2",,INDEX(MO_SNA_FPStartDate,0,COLUMN()),INDEX(MO_Common_QEndDate,0,COLUMN())),"N/A")</f>
        <v>N/A</v>
      </c>
      <c r="BS554" s="323"/>
    </row>
    <row r="555" spans="1:71" ht="15" hidden="1" outlineLevel="1">
      <c r="A555" s="221"/>
      <c r="B555" s="814"/>
      <c r="C555" s="274"/>
      <c r="D555" s="274"/>
      <c r="E555" s="814"/>
      <c r="F555" s="814"/>
      <c r="G555" s="814"/>
      <c r="H555" s="814"/>
      <c r="I555" s="814"/>
      <c r="J555" s="814"/>
      <c r="K555" s="814"/>
      <c r="L555" s="814"/>
      <c r="M555" s="814"/>
      <c r="N555" s="814"/>
      <c r="O555" s="814"/>
      <c r="P555" s="245"/>
      <c r="Q555" s="814"/>
      <c r="R555" s="814"/>
      <c r="S555" s="814"/>
      <c r="T555" s="814"/>
      <c r="U555" s="814"/>
      <c r="V555" s="814"/>
      <c r="W555" s="814"/>
      <c r="X555" s="814"/>
      <c r="Y555" s="814"/>
      <c r="Z555" s="814"/>
      <c r="AA555" s="814"/>
      <c r="AB555" s="814"/>
      <c r="AC555" s="814"/>
      <c r="AD555" s="814"/>
      <c r="AE555" s="814"/>
      <c r="AF555" s="814"/>
      <c r="AG555" s="814"/>
      <c r="AH555" s="814"/>
      <c r="AI555" s="814"/>
      <c r="AJ555" s="814"/>
      <c r="AK555" s="814"/>
      <c r="AL555" s="814"/>
      <c r="AM555" s="814"/>
      <c r="AN555" s="814"/>
      <c r="AO555" s="814"/>
      <c r="AP555" s="814"/>
      <c r="AQ555" s="814"/>
      <c r="AR555" s="814"/>
      <c r="AS555" s="814"/>
      <c r="AT555" s="814"/>
      <c r="AU555" s="814"/>
      <c r="AV555" s="814"/>
      <c r="AW555" s="814"/>
      <c r="AX555" s="814"/>
      <c r="AY555" s="814"/>
      <c r="AZ555" s="814"/>
      <c r="BA555" s="814"/>
      <c r="BB555" s="814"/>
      <c r="BC555" s="814"/>
      <c r="BD555" s="814"/>
      <c r="BE555" s="814"/>
      <c r="BF555" s="814"/>
      <c r="BG555" s="814"/>
      <c r="BH555" s="815"/>
      <c r="BI555" s="814"/>
      <c r="BJ555" s="814"/>
      <c r="BK555" s="814"/>
      <c r="BL555" s="814"/>
      <c r="BM555" s="814"/>
      <c r="BN555" s="814"/>
      <c r="BO555" s="814"/>
      <c r="BP555" s="814"/>
      <c r="BQ555" s="814"/>
      <c r="BR555" s="220"/>
      <c r="BS555" s="318"/>
    </row>
    <row r="556" spans="1:71" s="285" customFormat="1" ht="15" collapsed="1">
      <c r="A556" s="281" t="str">
        <f ca="1">"Stock Low: "&amp;IF(OR(MO.RealTimeStockPriceToggle=FALSE,VLOOKUP(MO.DataSourceName,MO_SPT_StockLow_Sources,COLUMN()+2,FALSE)="N/A"),"Real-Time Off Source",MO.DataSourceName)</f>
        <v>Stock Low: Real-Time Off Source</v>
      </c>
      <c r="B556" s="282"/>
      <c r="C556" s="283">
        <f ca="1" t="shared" si="1195" ref="C556:AQ556">IF(OR(MO.RealTimeStockPriceToggle=FALSE,VLOOKUP(MO.DataSourceName,MO_SPT_StockLow_Sources,COLUMN(),FALSE)="N/A"),VLOOKUP("Real-Time Off Source",MO_SPT_StockLow_Sources,COLUMN(),FALSE),VLOOKUP(MO.DataSourceName,MO_SPT_StockLow_Sources,COLUMN(),FALSE))</f>
        <v>5.415</v>
      </c>
      <c r="D556" s="283">
        <f t="shared" ca="1" si="1195"/>
        <v>19.954999999999998</v>
      </c>
      <c r="E556" s="282">
        <f t="shared" ca="1" si="1195"/>
        <v>15.625</v>
      </c>
      <c r="F556" s="282">
        <f t="shared" ca="1" si="1195"/>
        <v>19.07</v>
      </c>
      <c r="G556" s="282">
        <f t="shared" ca="1" si="1195"/>
        <v>24.085</v>
      </c>
      <c r="H556" s="282">
        <f t="shared" ca="1" si="1195"/>
        <v>30.225</v>
      </c>
      <c r="I556" s="282">
        <f t="shared" ca="1" si="1195"/>
        <v>30.30</v>
      </c>
      <c r="J556" s="282">
        <f t="shared" ca="1" si="1195"/>
        <v>28.85</v>
      </c>
      <c r="K556" s="282">
        <f t="shared" ca="1" si="1195"/>
        <v>27.495</v>
      </c>
      <c r="L556" s="282">
        <f t="shared" ca="1" si="1195"/>
        <v>27.495</v>
      </c>
      <c r="M556" s="282">
        <f t="shared" ca="1" si="1195"/>
        <v>28.205</v>
      </c>
      <c r="N556" s="282">
        <f t="shared" ca="1" si="1195"/>
        <v>30.66</v>
      </c>
      <c r="O556" s="282">
        <f t="shared" ca="1" si="1195"/>
        <v>25.705</v>
      </c>
      <c r="P556" s="282">
        <f t="shared" ca="1" si="1195"/>
        <v>28.39</v>
      </c>
      <c r="Q556" s="282">
        <f t="shared" ca="1" si="1195"/>
        <v>25.705</v>
      </c>
      <c r="R556" s="282">
        <f t="shared" ca="1" si="1195"/>
        <v>27.285</v>
      </c>
      <c r="S556" s="282">
        <f t="shared" ca="1" si="1195"/>
        <v>31.295</v>
      </c>
      <c r="T556" s="282">
        <f t="shared" ca="1" si="1195"/>
        <v>35.51</v>
      </c>
      <c r="U556" s="282">
        <f t="shared" ca="1" si="1195"/>
        <v>33.75</v>
      </c>
      <c r="V556" s="282">
        <f t="shared" ca="1" si="1195"/>
        <v>27.285</v>
      </c>
      <c r="W556" s="282">
        <f t="shared" ca="1" si="1195"/>
        <v>33.25</v>
      </c>
      <c r="X556" s="282">
        <f t="shared" ca="1" si="1195"/>
        <v>36.04</v>
      </c>
      <c r="Y556" s="282">
        <f t="shared" ca="1" si="1195"/>
        <v>38.31</v>
      </c>
      <c r="Z556" s="282">
        <f t="shared" ca="1" si="1195"/>
        <v>40.705</v>
      </c>
      <c r="AA556" s="282">
        <f t="shared" ca="1" si="1195"/>
        <v>33.25</v>
      </c>
      <c r="AB556" s="282">
        <f t="shared" ca="1" si="1195"/>
        <v>40.803899999999999</v>
      </c>
      <c r="AC556" s="282">
        <f t="shared" ca="1" si="1195"/>
        <v>42.244799999999998</v>
      </c>
      <c r="AD556" s="282">
        <f t="shared" ca="1" si="1195"/>
        <v>42.001800000000003</v>
      </c>
      <c r="AE556" s="282">
        <f t="shared" ca="1" si="1195"/>
        <v>41.460999999999999</v>
      </c>
      <c r="AF556" s="282">
        <f t="shared" ca="1" si="1195"/>
        <v>40.803899999999999</v>
      </c>
      <c r="AG556" s="282">
        <f t="shared" ca="1" si="1195"/>
        <v>44.126899999999999</v>
      </c>
      <c r="AH556" s="282">
        <f t="shared" ca="1" si="1195"/>
        <v>48.56</v>
      </c>
      <c r="AI556" s="282">
        <f t="shared" ca="1" si="1195"/>
        <v>48.36</v>
      </c>
      <c r="AJ556" s="282">
        <f t="shared" ca="1" si="1195"/>
        <v>50.58</v>
      </c>
      <c r="AK556" s="282">
        <f t="shared" ca="1" si="1195"/>
        <v>44.37</v>
      </c>
      <c r="AL556" s="282">
        <f t="shared" ca="1" si="1195"/>
        <v>25.27</v>
      </c>
      <c r="AM556" s="282">
        <f t="shared" ca="1" si="1195"/>
        <v>31.83</v>
      </c>
      <c r="AN556" s="282">
        <f t="shared" ca="1" si="1195"/>
        <v>33.97</v>
      </c>
      <c r="AO556" s="282">
        <f t="shared" ca="1" si="1195"/>
        <v>33.950000000000003</v>
      </c>
      <c r="AP556" s="282">
        <f t="shared" ca="1" si="1195"/>
        <v>25.27</v>
      </c>
      <c r="AQ556" s="282">
        <f t="shared" ca="1" si="1195"/>
        <v>43.19</v>
      </c>
      <c r="AR556" s="282">
        <f ca="1" t="shared" si="1196" ref="AR556:AW556">IF(OR(MO.RealTimeStockPriceToggle=FALSE,VLOOKUP(MO.DataSourceName,MO_SPT_StockLow_Sources,COLUMN(),FALSE)="N/A"),VLOOKUP("Real-Time Off Source",MO_SPT_StockLow_Sources,COLUMN(),FALSE),VLOOKUP(MO.DataSourceName,MO_SPT_StockLow_Sources,COLUMN(),FALSE))</f>
        <v>51.42</v>
      </c>
      <c r="AS556" s="282">
        <f t="shared" ca="1" si="1196"/>
        <v>51.35</v>
      </c>
      <c r="AT556" s="282">
        <f t="shared" ca="1" si="1196"/>
        <v>52.77</v>
      </c>
      <c r="AU556" s="282">
        <f t="shared" ca="1" si="1196"/>
        <v>43.19</v>
      </c>
      <c r="AV556" s="282">
        <f t="shared" ca="1" si="1196"/>
        <v>58.27</v>
      </c>
      <c r="AW556" s="282">
        <f t="shared" ca="1" si="1196"/>
        <v>53.01</v>
      </c>
      <c r="AX556" s="282">
        <f ca="1" t="shared" si="1197" ref="AX556:BJ556">IF(OR(MO.RealTimeStockPriceToggle=FALSE,VLOOKUP(MO.DataSourceName,MO_SPT_StockLow_Sources,COLUMN(),FALSE)="N/A"),VLOOKUP("Real-Time Off Source",MO_SPT_StockLow_Sources,COLUMN(),FALSE),VLOOKUP(MO.DataSourceName,MO_SPT_StockLow_Sources,COLUMN(),FALSE))</f>
        <v>53.45</v>
      </c>
      <c r="AY556" s="282">
        <f t="shared" ca="1" si="1197"/>
        <v>57.41</v>
      </c>
      <c r="AZ556" s="282">
        <f t="shared" ca="1" si="1197"/>
        <v>53.01</v>
      </c>
      <c r="BA556" s="282">
        <f ca="1" t="shared" si="1198" ref="BA556:BI556">IF(OR(MO.RealTimeStockPriceToggle=FALSE,VLOOKUP(MO.DataSourceName,MO_SPT_StockLow_Sources,COLUMN(),FALSE)="N/A"),VLOOKUP("Real-Time Off Source",MO_SPT_StockLow_Sources,COLUMN(),FALSE),VLOOKUP(MO.DataSourceName,MO_SPT_StockLow_Sources,COLUMN(),FALSE))</f>
        <v>61.24</v>
      </c>
      <c r="BB556" s="282">
        <f t="shared" ca="1" si="1198"/>
        <v>63.91</v>
      </c>
      <c r="BC556" s="282">
        <f t="shared" ca="1" si="1198"/>
        <v>69.569999999999993</v>
      </c>
      <c r="BD556" s="282">
        <f t="shared" ca="1" si="1198"/>
        <v>75.430000000000007</v>
      </c>
      <c r="BE556" s="282">
        <f t="shared" ca="1" si="1198"/>
        <v>61.24</v>
      </c>
      <c r="BF556" s="282">
        <f ca="1">IF(OR(MO.RealTimeStockPriceToggle=FALSE,VLOOKUP(MO.DataSourceName,MO_SPT_StockLow_Sources,COLUMN(),FALSE)="N/A"),VLOOKUP("Real-Time Off Source",MO_SPT_StockLow_Sources,COLUMN(),FALSE),VLOOKUP(MO.DataSourceName,MO_SPT_StockLow_Sources,COLUMN(),FALSE))</f>
        <v>76.20</v>
      </c>
      <c r="BG556" s="282">
        <f ca="1">IF(OR(MO.RealTimeStockPriceToggle=FALSE,VLOOKUP(MO.DataSourceName,MO_SPT_StockLow_Sources,COLUMN(),FALSE)="N/A"),VLOOKUP("Real-Time Off Source",MO_SPT_StockLow_Sources,COLUMN(),FALSE),VLOOKUP(MO.DataSourceName,MO_SPT_StockLow_Sources,COLUMN(),FALSE))</f>
        <v>79.64</v>
      </c>
      <c r="BH556" s="560">
        <f ca="1">IF(OR(MO.RealTimeStockPriceToggle=FALSE,VLOOKUP(MO.DataSourceName,MO_SPT_StockLow_Sources,COLUMN(),FALSE)="N/A"),VLOOKUP("Real-Time Off Source",MO_SPT_StockLow_Sources,COLUMN(),FALSE),VLOOKUP(MO.DataSourceName,MO_SPT_StockLow_Sources,COLUMN(),FALSE))</f>
        <v>88.52</v>
      </c>
      <c r="BI556" s="282">
        <f t="shared" ca="1" si="1198"/>
        <v>0</v>
      </c>
      <c r="BJ556" s="282">
        <f t="shared" ca="1" si="1197"/>
        <v>0</v>
      </c>
      <c r="BK556" s="282">
        <f ca="1" t="shared" si="1199" ref="BK556:BR556">IF(OR(MO.RealTimeStockPriceToggle=FALSE,VLOOKUP(MO.DataSourceName,MO_SPT_StockLow_Sources,COLUMN(),FALSE)="N/A"),VLOOKUP("Real-Time Off Source",MO_SPT_StockLow_Sources,COLUMN(),FALSE),VLOOKUP(MO.DataSourceName,MO_SPT_StockLow_Sources,COLUMN(),FALSE))</f>
        <v>0</v>
      </c>
      <c r="BL556" s="282">
        <f t="shared" ca="1" si="1199"/>
        <v>0</v>
      </c>
      <c r="BM556" s="282">
        <f t="shared" ca="1" si="1199"/>
        <v>0</v>
      </c>
      <c r="BN556" s="282">
        <f t="shared" ca="1" si="1199"/>
        <v>0</v>
      </c>
      <c r="BO556" s="282">
        <f t="shared" ca="1" si="1199"/>
        <v>0</v>
      </c>
      <c r="BP556" s="282">
        <f t="shared" ca="1" si="1199"/>
        <v>0</v>
      </c>
      <c r="BQ556" s="282">
        <f t="shared" ca="1" si="1199"/>
        <v>0</v>
      </c>
      <c r="BR556" s="284">
        <f t="shared" ca="1" si="1199"/>
        <v>0</v>
      </c>
      <c r="BS556" s="323"/>
    </row>
    <row r="557" spans="1:71" s="285" customFormat="1" ht="15" hidden="1" outlineLevel="1">
      <c r="A557" s="286" t="s">
        <v>211</v>
      </c>
      <c r="B557" s="282"/>
      <c r="C557" s="949">
        <v>5.415</v>
      </c>
      <c r="D557" s="949">
        <v>19.954999999999998</v>
      </c>
      <c r="E557" s="950">
        <v>15.625</v>
      </c>
      <c r="F557" s="950">
        <v>19.07</v>
      </c>
      <c r="G557" s="950">
        <v>24.085</v>
      </c>
      <c r="H557" s="950">
        <v>30.225</v>
      </c>
      <c r="I557" s="950">
        <v>30.30</v>
      </c>
      <c r="J557" s="950">
        <v>28.85</v>
      </c>
      <c r="K557" s="950">
        <v>27.495</v>
      </c>
      <c r="L557" s="950">
        <v>27.495</v>
      </c>
      <c r="M557" s="950">
        <v>28.205</v>
      </c>
      <c r="N557" s="950">
        <v>30.66</v>
      </c>
      <c r="O557" s="950">
        <v>25.705</v>
      </c>
      <c r="P557" s="950">
        <v>28.39</v>
      </c>
      <c r="Q557" s="950">
        <v>25.705</v>
      </c>
      <c r="R557" s="950">
        <v>27.285</v>
      </c>
      <c r="S557" s="950">
        <v>31.295</v>
      </c>
      <c r="T557" s="950">
        <v>35.51</v>
      </c>
      <c r="U557" s="950">
        <v>33.75</v>
      </c>
      <c r="V557" s="950">
        <v>27.285</v>
      </c>
      <c r="W557" s="950">
        <v>33.25</v>
      </c>
      <c r="X557" s="950">
        <v>36.04</v>
      </c>
      <c r="Y557" s="950">
        <v>38.31</v>
      </c>
      <c r="Z557" s="950">
        <v>40.705</v>
      </c>
      <c r="AA557" s="950">
        <v>33.25</v>
      </c>
      <c r="AB557" s="950">
        <v>40.803899999999999</v>
      </c>
      <c r="AC557" s="950">
        <v>42.244799999999998</v>
      </c>
      <c r="AD557" s="950">
        <v>42.001800000000003</v>
      </c>
      <c r="AE557" s="950">
        <v>41.460999999999999</v>
      </c>
      <c r="AF557" s="950">
        <v>40.803899999999999</v>
      </c>
      <c r="AG557" s="950">
        <v>44.126899999999999</v>
      </c>
      <c r="AH557" s="950">
        <v>48.56</v>
      </c>
      <c r="AI557" s="950">
        <v>48.36</v>
      </c>
      <c r="AJ557" s="950">
        <v>50.58</v>
      </c>
      <c r="AK557" s="950">
        <v>44.37</v>
      </c>
      <c r="AL557" s="950">
        <v>25.27</v>
      </c>
      <c r="AM557" s="950">
        <v>31.83</v>
      </c>
      <c r="AN557" s="950">
        <v>33.97</v>
      </c>
      <c r="AO557" s="950">
        <v>33.950000000000003</v>
      </c>
      <c r="AP557" s="950">
        <v>25.27</v>
      </c>
      <c r="AQ557" s="950">
        <v>43.19</v>
      </c>
      <c r="AR557" s="950">
        <v>51.42</v>
      </c>
      <c r="AS557" s="950">
        <v>51.35</v>
      </c>
      <c r="AT557" s="950">
        <v>52.77</v>
      </c>
      <c r="AU557" s="950">
        <v>43.19</v>
      </c>
      <c r="AV557" s="950">
        <v>58.27</v>
      </c>
      <c r="AW557" s="950">
        <v>53.01</v>
      </c>
      <c r="AX557" s="950">
        <v>53.45</v>
      </c>
      <c r="AY557" s="950">
        <v>57.41</v>
      </c>
      <c r="AZ557" s="950">
        <v>53.01</v>
      </c>
      <c r="BA557" s="950">
        <v>61.24</v>
      </c>
      <c r="BB557" s="950">
        <v>63.91</v>
      </c>
      <c r="BC557" s="950">
        <v>69.569999999999993</v>
      </c>
      <c r="BD557" s="950">
        <v>75.430000000000007</v>
      </c>
      <c r="BE557" s="950">
        <v>61.24</v>
      </c>
      <c r="BF557" s="950">
        <v>76.20</v>
      </c>
      <c r="BG557" s="950">
        <v>79.64</v>
      </c>
      <c r="BH557" s="951">
        <v>88.52</v>
      </c>
      <c r="BI557" s="282"/>
      <c r="BJ557" s="282"/>
      <c r="BK557" s="282"/>
      <c r="BL557" s="282"/>
      <c r="BM557" s="282"/>
      <c r="BN557" s="282"/>
      <c r="BO557" s="282"/>
      <c r="BP557" s="282"/>
      <c r="BQ557" s="282"/>
      <c r="BR557" s="284"/>
      <c r="BS557" s="323"/>
    </row>
    <row r="558" spans="1:71" s="285" customFormat="1" ht="15" hidden="1" outlineLevel="1">
      <c r="A558" s="286" t="s">
        <v>7</v>
      </c>
      <c r="B558" s="282"/>
      <c r="C558" s="283" t="str">
        <f ca="1">IFERROR(BDP(MO.Ticker.Bloomberg&amp;" Equity","INTERVAL_LOW","MARKET_DATA_OVERRIDE=PX_LAST","START_DATE_OVERRIDE",TEXT(INDEX(MO_SNA_FPStartDate,0,COLUMN()),"YYYYMMDD"),"END_DATE_OVERRIDE",TEXT(INDEX(MO_Common_QEndDate,0,COLUMN()),"YYYYMMDD")),"N/A")</f>
        <v>N/A</v>
      </c>
      <c r="D558" s="283" t="str">
        <f ca="1">IFERROR(BDP(MO.Ticker.Bloomberg&amp;" Equity","INTERVAL_LOW","MARKET_DATA_OVERRIDE=PX_LAST","START_DATE_OVERRIDE",TEXT(INDEX(MO_SNA_FPStartDate,0,COLUMN()),"YYYYMMDD"),"END_DATE_OVERRIDE",TEXT(INDEX(MO_Common_QEndDate,0,COLUMN()),"YYYYMMDD")),"N/A")</f>
        <v>N/A</v>
      </c>
      <c r="E558" s="282" t="str">
        <f ca="1">IFERROR(BDP(MO.Ticker.Bloomberg&amp;" Equity","INTERVAL_LOW","MARKET_DATA_OVERRIDE=PX_LAST","START_DATE_OVERRIDE",TEXT(INDEX(MO_SNA_FPStartDate,0,COLUMN()),"YYYYMMDD"),"END_DATE_OVERRIDE",TEXT(INDEX(MO_Common_QEndDate,0,COLUMN()),"YYYYMMDD")),"N/A")</f>
        <v>N/A</v>
      </c>
      <c r="F558" s="282" t="str">
        <f ca="1">IFERROR(BDP(MO.Ticker.Bloomberg&amp;" Equity","INTERVAL_LOW","MARKET_DATA_OVERRIDE=PX_LAST","START_DATE_OVERRIDE",TEXT(INDEX(MO_SNA_FPStartDate,0,COLUMN()),"YYYYMMDD"),"END_DATE_OVERRIDE",TEXT(INDEX(MO_Common_QEndDate,0,COLUMN()),"YYYYMMDD")),"N/A")</f>
        <v>N/A</v>
      </c>
      <c r="G558" s="282" t="str">
        <f ca="1">IFERROR(BDP(MO.Ticker.Bloomberg&amp;" Equity","INTERVAL_LOW","MARKET_DATA_OVERRIDE=PX_LAST","START_DATE_OVERRIDE",TEXT(INDEX(MO_SNA_FPStartDate,0,COLUMN()),"YYYYMMDD"),"END_DATE_OVERRIDE",TEXT(INDEX(MO_Common_QEndDate,0,COLUMN()),"YYYYMMDD")),"N/A")</f>
        <v>N/A</v>
      </c>
      <c r="H558" s="282" t="str">
        <f ca="1">IFERROR(BDP(MO.Ticker.Bloomberg&amp;" Equity","INTERVAL_LOW","MARKET_DATA_OVERRIDE=PX_LAST","START_DATE_OVERRIDE",TEXT(INDEX(MO_SNA_FPStartDate,0,COLUMN()),"YYYYMMDD"),"END_DATE_OVERRIDE",TEXT(INDEX(MO_Common_QEndDate,0,COLUMN()),"YYYYMMDD")),"N/A")</f>
        <v>N/A</v>
      </c>
      <c r="I558" s="282" t="str">
        <f ca="1">IFERROR(BDP(MO.Ticker.Bloomberg&amp;" Equity","INTERVAL_LOW","MARKET_DATA_OVERRIDE=PX_LAST","START_DATE_OVERRIDE",TEXT(INDEX(MO_SNA_FPStartDate,0,COLUMN()),"YYYYMMDD"),"END_DATE_OVERRIDE",TEXT(INDEX(MO_Common_QEndDate,0,COLUMN()),"YYYYMMDD")),"N/A")</f>
        <v>N/A</v>
      </c>
      <c r="J558" s="282" t="str">
        <f ca="1">IFERROR(BDP(MO.Ticker.Bloomberg&amp;" Equity","INTERVAL_LOW","MARKET_DATA_OVERRIDE=PX_LAST","START_DATE_OVERRIDE",TEXT(INDEX(MO_SNA_FPStartDate,0,COLUMN()),"YYYYMMDD"),"END_DATE_OVERRIDE",TEXT(INDEX(MO_Common_QEndDate,0,COLUMN()),"YYYYMMDD")),"N/A")</f>
        <v>N/A</v>
      </c>
      <c r="K558" s="282" t="str">
        <f ca="1">IFERROR(BDP(MO.Ticker.Bloomberg&amp;" Equity","INTERVAL_LOW","MARKET_DATA_OVERRIDE=PX_LAST","START_DATE_OVERRIDE",TEXT(INDEX(MO_SNA_FPStartDate,0,COLUMN()),"YYYYMMDD"),"END_DATE_OVERRIDE",TEXT(INDEX(MO_Common_QEndDate,0,COLUMN()),"YYYYMMDD")),"N/A")</f>
        <v>N/A</v>
      </c>
      <c r="L558" s="282" t="str">
        <f ca="1">IFERROR(BDP(MO.Ticker.Bloomberg&amp;" Equity","INTERVAL_LOW","MARKET_DATA_OVERRIDE=PX_LAST","START_DATE_OVERRIDE",TEXT(INDEX(MO_SNA_FPStartDate,0,COLUMN()),"YYYYMMDD"),"END_DATE_OVERRIDE",TEXT(INDEX(MO_Common_QEndDate,0,COLUMN()),"YYYYMMDD")),"N/A")</f>
        <v>N/A</v>
      </c>
      <c r="M558" s="282" t="str">
        <f ca="1">IFERROR(BDP(MO.Ticker.Bloomberg&amp;" Equity","INTERVAL_LOW","MARKET_DATA_OVERRIDE=PX_LAST","START_DATE_OVERRIDE",TEXT(INDEX(MO_SNA_FPStartDate,0,COLUMN()),"YYYYMMDD"),"END_DATE_OVERRIDE",TEXT(INDEX(MO_Common_QEndDate,0,COLUMN()),"YYYYMMDD")),"N/A")</f>
        <v>N/A</v>
      </c>
      <c r="N558" s="282" t="str">
        <f ca="1">IFERROR(BDP(MO.Ticker.Bloomberg&amp;" Equity","INTERVAL_LOW","MARKET_DATA_OVERRIDE=PX_LAST","START_DATE_OVERRIDE",TEXT(INDEX(MO_SNA_FPStartDate,0,COLUMN()),"YYYYMMDD"),"END_DATE_OVERRIDE",TEXT(INDEX(MO_Common_QEndDate,0,COLUMN()),"YYYYMMDD")),"N/A")</f>
        <v>N/A</v>
      </c>
      <c r="O558" s="282" t="str">
        <f ca="1">IFERROR(BDP(MO.Ticker.Bloomberg&amp;" Equity","INTERVAL_LOW","MARKET_DATA_OVERRIDE=PX_LAST","START_DATE_OVERRIDE",TEXT(INDEX(MO_SNA_FPStartDate,0,COLUMN()),"YYYYMMDD"),"END_DATE_OVERRIDE",TEXT(INDEX(MO_Common_QEndDate,0,COLUMN()),"YYYYMMDD")),"N/A")</f>
        <v>N/A</v>
      </c>
      <c r="P558" s="282" t="str">
        <f ca="1">IFERROR(BDP(MO.Ticker.Bloomberg&amp;" Equity","INTERVAL_LOW","MARKET_DATA_OVERRIDE=PX_LAST","START_DATE_OVERRIDE",TEXT(INDEX(MO_SNA_FPStartDate,0,COLUMN()),"YYYYMMDD"),"END_DATE_OVERRIDE",TEXT(INDEX(MO_Common_QEndDate,0,COLUMN()),"YYYYMMDD")),"N/A")</f>
        <v>N/A</v>
      </c>
      <c r="Q558" s="282" t="str">
        <f ca="1">IFERROR(BDP(MO.Ticker.Bloomberg&amp;" Equity","INTERVAL_LOW","MARKET_DATA_OVERRIDE=PX_LAST","START_DATE_OVERRIDE",TEXT(INDEX(MO_SNA_FPStartDate,0,COLUMN()),"YYYYMMDD"),"END_DATE_OVERRIDE",TEXT(INDEX(MO_Common_QEndDate,0,COLUMN()),"YYYYMMDD")),"N/A")</f>
        <v>N/A</v>
      </c>
      <c r="R558" s="282" t="str">
        <f ca="1">IFERROR(BDP(MO.Ticker.Bloomberg&amp;" Equity","INTERVAL_LOW","MARKET_DATA_OVERRIDE=PX_LAST","START_DATE_OVERRIDE",TEXT(INDEX(MO_SNA_FPStartDate,0,COLUMN()),"YYYYMMDD"),"END_DATE_OVERRIDE",TEXT(INDEX(MO_Common_QEndDate,0,COLUMN()),"YYYYMMDD")),"N/A")</f>
        <v>N/A</v>
      </c>
      <c r="S558" s="282" t="str">
        <f ca="1">IFERROR(BDP(MO.Ticker.Bloomberg&amp;" Equity","INTERVAL_LOW","MARKET_DATA_OVERRIDE=PX_LAST","START_DATE_OVERRIDE",TEXT(INDEX(MO_SNA_FPStartDate,0,COLUMN()),"YYYYMMDD"),"END_DATE_OVERRIDE",TEXT(INDEX(MO_Common_QEndDate,0,COLUMN()),"YYYYMMDD")),"N/A")</f>
        <v>N/A</v>
      </c>
      <c r="T558" s="282" t="str">
        <f ca="1">IFERROR(BDP(MO.Ticker.Bloomberg&amp;" Equity","INTERVAL_LOW","MARKET_DATA_OVERRIDE=PX_LAST","START_DATE_OVERRIDE",TEXT(INDEX(MO_SNA_FPStartDate,0,COLUMN()),"YYYYMMDD"),"END_DATE_OVERRIDE",TEXT(INDEX(MO_Common_QEndDate,0,COLUMN()),"YYYYMMDD")),"N/A")</f>
        <v>N/A</v>
      </c>
      <c r="U558" s="282" t="str">
        <f ca="1">IFERROR(BDP(MO.Ticker.Bloomberg&amp;" Equity","INTERVAL_LOW","MARKET_DATA_OVERRIDE=PX_LAST","START_DATE_OVERRIDE",TEXT(INDEX(MO_SNA_FPStartDate,0,COLUMN()),"YYYYMMDD"),"END_DATE_OVERRIDE",TEXT(INDEX(MO_Common_QEndDate,0,COLUMN()),"YYYYMMDD")),"N/A")</f>
        <v>N/A</v>
      </c>
      <c r="V558" s="282" t="str">
        <f ca="1">IFERROR(BDP(MO.Ticker.Bloomberg&amp;" Equity","INTERVAL_LOW","MARKET_DATA_OVERRIDE=PX_LAST","START_DATE_OVERRIDE",TEXT(INDEX(MO_SNA_FPStartDate,0,COLUMN()),"YYYYMMDD"),"END_DATE_OVERRIDE",TEXT(INDEX(MO_Common_QEndDate,0,COLUMN()),"YYYYMMDD")),"N/A")</f>
        <v>N/A</v>
      </c>
      <c r="W558" s="282" t="str">
        <f ca="1">IFERROR(BDP(MO.Ticker.Bloomberg&amp;" Equity","INTERVAL_LOW","MARKET_DATA_OVERRIDE=PX_LAST","START_DATE_OVERRIDE",TEXT(INDEX(MO_SNA_FPStartDate,0,COLUMN()),"YYYYMMDD"),"END_DATE_OVERRIDE",TEXT(INDEX(MO_Common_QEndDate,0,COLUMN()),"YYYYMMDD")),"N/A")</f>
        <v>N/A</v>
      </c>
      <c r="X558" s="282" t="str">
        <f ca="1">IFERROR(BDP(MO.Ticker.Bloomberg&amp;" Equity","INTERVAL_LOW","MARKET_DATA_OVERRIDE=PX_LAST","START_DATE_OVERRIDE",TEXT(INDEX(MO_SNA_FPStartDate,0,COLUMN()),"YYYYMMDD"),"END_DATE_OVERRIDE",TEXT(INDEX(MO_Common_QEndDate,0,COLUMN()),"YYYYMMDD")),"N/A")</f>
        <v>N/A</v>
      </c>
      <c r="Y558" s="282" t="str">
        <f ca="1">IFERROR(BDP(MO.Ticker.Bloomberg&amp;" Equity","INTERVAL_LOW","MARKET_DATA_OVERRIDE=PX_LAST","START_DATE_OVERRIDE",TEXT(INDEX(MO_SNA_FPStartDate,0,COLUMN()),"YYYYMMDD"),"END_DATE_OVERRIDE",TEXT(INDEX(MO_Common_QEndDate,0,COLUMN()),"YYYYMMDD")),"N/A")</f>
        <v>N/A</v>
      </c>
      <c r="Z558" s="282" t="str">
        <f ca="1">IFERROR(BDP(MO.Ticker.Bloomberg&amp;" Equity","INTERVAL_LOW","MARKET_DATA_OVERRIDE=PX_LAST","START_DATE_OVERRIDE",TEXT(INDEX(MO_SNA_FPStartDate,0,COLUMN()),"YYYYMMDD"),"END_DATE_OVERRIDE",TEXT(INDEX(MO_Common_QEndDate,0,COLUMN()),"YYYYMMDD")),"N/A")</f>
        <v>N/A</v>
      </c>
      <c r="AA558" s="282" t="str">
        <f ca="1">IFERROR(BDP(MO.Ticker.Bloomberg&amp;" Equity","INTERVAL_LOW","MARKET_DATA_OVERRIDE=PX_LAST","START_DATE_OVERRIDE",TEXT(INDEX(MO_SNA_FPStartDate,0,COLUMN()),"YYYYMMDD"),"END_DATE_OVERRIDE",TEXT(INDEX(MO_Common_QEndDate,0,COLUMN()),"YYYYMMDD")),"N/A")</f>
        <v>N/A</v>
      </c>
      <c r="AB558" s="282" t="str">
        <f ca="1">IFERROR(BDP(MO.Ticker.Bloomberg&amp;" Equity","INTERVAL_LOW","MARKET_DATA_OVERRIDE=PX_LAST","START_DATE_OVERRIDE",TEXT(INDEX(MO_SNA_FPStartDate,0,COLUMN()),"YYYYMMDD"),"END_DATE_OVERRIDE",TEXT(INDEX(MO_Common_QEndDate,0,COLUMN()),"YYYYMMDD")),"N/A")</f>
        <v>N/A</v>
      </c>
      <c r="AC558" s="282" t="str">
        <f ca="1">IFERROR(BDP(MO.Ticker.Bloomberg&amp;" Equity","INTERVAL_LOW","MARKET_DATA_OVERRIDE=PX_LAST","START_DATE_OVERRIDE",TEXT(INDEX(MO_SNA_FPStartDate,0,COLUMN()),"YYYYMMDD"),"END_DATE_OVERRIDE",TEXT(INDEX(MO_Common_QEndDate,0,COLUMN()),"YYYYMMDD")),"N/A")</f>
        <v>N/A</v>
      </c>
      <c r="AD558" s="282" t="str">
        <f ca="1">IFERROR(BDP(MO.Ticker.Bloomberg&amp;" Equity","INTERVAL_LOW","MARKET_DATA_OVERRIDE=PX_LAST","START_DATE_OVERRIDE",TEXT(INDEX(MO_SNA_FPStartDate,0,COLUMN()),"YYYYMMDD"),"END_DATE_OVERRIDE",TEXT(INDEX(MO_Common_QEndDate,0,COLUMN()),"YYYYMMDD")),"N/A")</f>
        <v>N/A</v>
      </c>
      <c r="AE558" s="282" t="str">
        <f ca="1">IFERROR(BDP(MO.Ticker.Bloomberg&amp;" Equity","INTERVAL_LOW","MARKET_DATA_OVERRIDE=PX_LAST","START_DATE_OVERRIDE",TEXT(INDEX(MO_SNA_FPStartDate,0,COLUMN()),"YYYYMMDD"),"END_DATE_OVERRIDE",TEXT(INDEX(MO_Common_QEndDate,0,COLUMN()),"YYYYMMDD")),"N/A")</f>
        <v>N/A</v>
      </c>
      <c r="AF558" s="282" t="str">
        <f ca="1">IFERROR(BDP(MO.Ticker.Bloomberg&amp;" Equity","INTERVAL_LOW","MARKET_DATA_OVERRIDE=PX_LAST","START_DATE_OVERRIDE",TEXT(INDEX(MO_SNA_FPStartDate,0,COLUMN()),"YYYYMMDD"),"END_DATE_OVERRIDE",TEXT(INDEX(MO_Common_QEndDate,0,COLUMN()),"YYYYMMDD")),"N/A")</f>
        <v>N/A</v>
      </c>
      <c r="AG558" s="282" t="str">
        <f ca="1">IFERROR(BDP(MO.Ticker.Bloomberg&amp;" Equity","INTERVAL_LOW","MARKET_DATA_OVERRIDE=PX_LAST","START_DATE_OVERRIDE",TEXT(INDEX(MO_SNA_FPStartDate,0,COLUMN()),"YYYYMMDD"),"END_DATE_OVERRIDE",TEXT(INDEX(MO_Common_QEndDate,0,COLUMN()),"YYYYMMDD")),"N/A")</f>
        <v>N/A</v>
      </c>
      <c r="AH558" s="282" t="str">
        <f ca="1">IFERROR(BDP(MO.Ticker.Bloomberg&amp;" Equity","INTERVAL_LOW","MARKET_DATA_OVERRIDE=PX_LAST","START_DATE_OVERRIDE",TEXT(INDEX(MO_SNA_FPStartDate,0,COLUMN()),"YYYYMMDD"),"END_DATE_OVERRIDE",TEXT(INDEX(MO_Common_QEndDate,0,COLUMN()),"YYYYMMDD")),"N/A")</f>
        <v>N/A</v>
      </c>
      <c r="AI558" s="282" t="str">
        <f ca="1">IFERROR(BDP(MO.Ticker.Bloomberg&amp;" Equity","INTERVAL_LOW","MARKET_DATA_OVERRIDE=PX_LAST","START_DATE_OVERRIDE",TEXT(INDEX(MO_SNA_FPStartDate,0,COLUMN()),"YYYYMMDD"),"END_DATE_OVERRIDE",TEXT(INDEX(MO_Common_QEndDate,0,COLUMN()),"YYYYMMDD")),"N/A")</f>
        <v>N/A</v>
      </c>
      <c r="AJ558" s="282" t="str">
        <f ca="1">IFERROR(BDP(MO.Ticker.Bloomberg&amp;" Equity","INTERVAL_LOW","MARKET_DATA_OVERRIDE=PX_LAST","START_DATE_OVERRIDE",TEXT(INDEX(MO_SNA_FPStartDate,0,COLUMN()),"YYYYMMDD"),"END_DATE_OVERRIDE",TEXT(INDEX(MO_Common_QEndDate,0,COLUMN()),"YYYYMMDD")),"N/A")</f>
        <v>N/A</v>
      </c>
      <c r="AK558" s="282" t="str">
        <f ca="1">IFERROR(BDP(MO.Ticker.Bloomberg&amp;" Equity","INTERVAL_LOW","MARKET_DATA_OVERRIDE=PX_LAST","START_DATE_OVERRIDE",TEXT(INDEX(MO_SNA_FPStartDate,0,COLUMN()),"YYYYMMDD"),"END_DATE_OVERRIDE",TEXT(INDEX(MO_Common_QEndDate,0,COLUMN()),"YYYYMMDD")),"N/A")</f>
        <v>N/A</v>
      </c>
      <c r="AL558" s="282" t="str">
        <f ca="1">IFERROR(BDP(MO.Ticker.Bloomberg&amp;" Equity","INTERVAL_LOW","MARKET_DATA_OVERRIDE=PX_LAST","START_DATE_OVERRIDE",TEXT(INDEX(MO_SNA_FPStartDate,0,COLUMN()),"YYYYMMDD"),"END_DATE_OVERRIDE",TEXT(INDEX(MO_Common_QEndDate,0,COLUMN()),"YYYYMMDD")),"N/A")</f>
        <v>N/A</v>
      </c>
      <c r="AM558" s="282" t="str">
        <f ca="1">IFERROR(BDP(MO.Ticker.Bloomberg&amp;" Equity","INTERVAL_LOW","MARKET_DATA_OVERRIDE=PX_LAST","START_DATE_OVERRIDE",TEXT(INDEX(MO_SNA_FPStartDate,0,COLUMN()),"YYYYMMDD"),"END_DATE_OVERRIDE",TEXT(INDEX(MO_Common_QEndDate,0,COLUMN()),"YYYYMMDD")),"N/A")</f>
        <v>N/A</v>
      </c>
      <c r="AN558" s="282" t="str">
        <f ca="1">IFERROR(BDP(MO.Ticker.Bloomberg&amp;" Equity","INTERVAL_LOW","MARKET_DATA_OVERRIDE=PX_LAST","START_DATE_OVERRIDE",TEXT(INDEX(MO_SNA_FPStartDate,0,COLUMN()),"YYYYMMDD"),"END_DATE_OVERRIDE",TEXT(INDEX(MO_Common_QEndDate,0,COLUMN()),"YYYYMMDD")),"N/A")</f>
        <v>N/A</v>
      </c>
      <c r="AO558" s="282" t="str">
        <f ca="1">IFERROR(BDP(MO.Ticker.Bloomberg&amp;" Equity","INTERVAL_LOW","MARKET_DATA_OVERRIDE=PX_LAST","START_DATE_OVERRIDE",TEXT(INDEX(MO_SNA_FPStartDate,0,COLUMN()),"YYYYMMDD"),"END_DATE_OVERRIDE",TEXT(INDEX(MO_Common_QEndDate,0,COLUMN()),"YYYYMMDD")),"N/A")</f>
        <v>N/A</v>
      </c>
      <c r="AP558" s="282" t="str">
        <f ca="1">IFERROR(BDP(MO.Ticker.Bloomberg&amp;" Equity","INTERVAL_LOW","MARKET_DATA_OVERRIDE=PX_LAST","START_DATE_OVERRIDE",TEXT(INDEX(MO_SNA_FPStartDate,0,COLUMN()),"YYYYMMDD"),"END_DATE_OVERRIDE",TEXT(INDEX(MO_Common_QEndDate,0,COLUMN()),"YYYYMMDD")),"N/A")</f>
        <v>N/A</v>
      </c>
      <c r="AQ558" s="282" t="str">
        <f ca="1">IFERROR(BDP(MO.Ticker.Bloomberg&amp;" Equity","INTERVAL_LOW","MARKET_DATA_OVERRIDE=PX_LAST","START_DATE_OVERRIDE",TEXT(INDEX(MO_SNA_FPStartDate,0,COLUMN()),"YYYYMMDD"),"END_DATE_OVERRIDE",TEXT(INDEX(MO_Common_QEndDate,0,COLUMN()),"YYYYMMDD")),"N/A")</f>
        <v>N/A</v>
      </c>
      <c r="AR558" s="282" t="str">
        <f ca="1">IFERROR(BDP(MO.Ticker.Bloomberg&amp;" Equity","INTERVAL_LOW","MARKET_DATA_OVERRIDE=PX_LAST","START_DATE_OVERRIDE",TEXT(INDEX(MO_SNA_FPStartDate,0,COLUMN()),"YYYYMMDD"),"END_DATE_OVERRIDE",TEXT(INDEX(MO_Common_QEndDate,0,COLUMN()),"YYYYMMDD")),"N/A")</f>
        <v>N/A</v>
      </c>
      <c r="AS558" s="282" t="str">
        <f ca="1">IFERROR(BDP(MO.Ticker.Bloomberg&amp;" Equity","INTERVAL_LOW","MARKET_DATA_OVERRIDE=PX_LAST","START_DATE_OVERRIDE",TEXT(INDEX(MO_SNA_FPStartDate,0,COLUMN()),"YYYYMMDD"),"END_DATE_OVERRIDE",TEXT(INDEX(MO_Common_QEndDate,0,COLUMN()),"YYYYMMDD")),"N/A")</f>
        <v>N/A</v>
      </c>
      <c r="AT558" s="282" t="str">
        <f ca="1">IFERROR(BDP(MO.Ticker.Bloomberg&amp;" Equity","INTERVAL_LOW","MARKET_DATA_OVERRIDE=PX_LAST","START_DATE_OVERRIDE",TEXT(INDEX(MO_SNA_FPStartDate,0,COLUMN()),"YYYYMMDD"),"END_DATE_OVERRIDE",TEXT(INDEX(MO_Common_QEndDate,0,COLUMN()),"YYYYMMDD")),"N/A")</f>
        <v>N/A</v>
      </c>
      <c r="AU558" s="282" t="str">
        <f ca="1">IFERROR(BDP(MO.Ticker.Bloomberg&amp;" Equity","INTERVAL_LOW","MARKET_DATA_OVERRIDE=PX_LAST","START_DATE_OVERRIDE",TEXT(INDEX(MO_SNA_FPStartDate,0,COLUMN()),"YYYYMMDD"),"END_DATE_OVERRIDE",TEXT(INDEX(MO_Common_QEndDate,0,COLUMN()),"YYYYMMDD")),"N/A")</f>
        <v>N/A</v>
      </c>
      <c r="AV558" s="282" t="str">
        <f ca="1">IFERROR(BDP(MO.Ticker.Bloomberg&amp;" Equity","INTERVAL_LOW","MARKET_DATA_OVERRIDE=PX_LAST","START_DATE_OVERRIDE",TEXT(INDEX(MO_SNA_FPStartDate,0,COLUMN()),"YYYYMMDD"),"END_DATE_OVERRIDE",TEXT(INDEX(MO_Common_QEndDate,0,COLUMN()),"YYYYMMDD")),"N/A")</f>
        <v>N/A</v>
      </c>
      <c r="AW558" s="282" t="str">
        <f ca="1">IFERROR(BDP(MO.Ticker.Bloomberg&amp;" Equity","INTERVAL_LOW","MARKET_DATA_OVERRIDE=PX_LAST","START_DATE_OVERRIDE",TEXT(INDEX(MO_SNA_FPStartDate,0,COLUMN()),"YYYYMMDD"),"END_DATE_OVERRIDE",TEXT(INDEX(MO_Common_QEndDate,0,COLUMN()),"YYYYMMDD")),"N/A")</f>
        <v>N/A</v>
      </c>
      <c r="AX558" s="282" t="str">
        <f ca="1">IFERROR(BDP(MO.Ticker.Bloomberg&amp;" Equity","INTERVAL_LOW","MARKET_DATA_OVERRIDE=PX_LAST","START_DATE_OVERRIDE",TEXT(INDEX(MO_SNA_FPStartDate,0,COLUMN()),"YYYYMMDD"),"END_DATE_OVERRIDE",TEXT(INDEX(MO_Common_QEndDate,0,COLUMN()),"YYYYMMDD")),"N/A")</f>
        <v>N/A</v>
      </c>
      <c r="AY558" s="282" t="str">
        <f ca="1">IFERROR(BDP(MO.Ticker.Bloomberg&amp;" Equity","INTERVAL_LOW","MARKET_DATA_OVERRIDE=PX_LAST","START_DATE_OVERRIDE",TEXT(INDEX(MO_SNA_FPStartDate,0,COLUMN()),"YYYYMMDD"),"END_DATE_OVERRIDE",TEXT(INDEX(MO_Common_QEndDate,0,COLUMN()),"YYYYMMDD")),"N/A")</f>
        <v>N/A</v>
      </c>
      <c r="AZ558" s="282" t="str">
        <f ca="1">IFERROR(BDP(MO.Ticker.Bloomberg&amp;" Equity","INTERVAL_LOW","MARKET_DATA_OVERRIDE=PX_LAST","START_DATE_OVERRIDE",TEXT(INDEX(MO_SNA_FPStartDate,0,COLUMN()),"YYYYMMDD"),"END_DATE_OVERRIDE",TEXT(INDEX(MO_Common_QEndDate,0,COLUMN()),"YYYYMMDD")),"N/A")</f>
        <v>N/A</v>
      </c>
      <c r="BA558" s="282" t="str">
        <f ca="1">IFERROR(BDP(MO.Ticker.Bloomberg&amp;" Equity","INTERVAL_LOW","MARKET_DATA_OVERRIDE=PX_LAST","START_DATE_OVERRIDE",TEXT(INDEX(MO_SNA_FPStartDate,0,COLUMN()),"YYYYMMDD"),"END_DATE_OVERRIDE",TEXT(INDEX(MO_Common_QEndDate,0,COLUMN()),"YYYYMMDD")),"N/A")</f>
        <v>N/A</v>
      </c>
      <c r="BB558" s="282" t="str">
        <f ca="1">IFERROR(BDP(MO.Ticker.Bloomberg&amp;" Equity","INTERVAL_LOW","MARKET_DATA_OVERRIDE=PX_LAST","START_DATE_OVERRIDE",TEXT(INDEX(MO_SNA_FPStartDate,0,COLUMN()),"YYYYMMDD"),"END_DATE_OVERRIDE",TEXT(INDEX(MO_Common_QEndDate,0,COLUMN()),"YYYYMMDD")),"N/A")</f>
        <v>N/A</v>
      </c>
      <c r="BC558" s="282" t="str">
        <f ca="1">IFERROR(BDP(MO.Ticker.Bloomberg&amp;" Equity","INTERVAL_LOW","MARKET_DATA_OVERRIDE=PX_LAST","START_DATE_OVERRIDE",TEXT(INDEX(MO_SNA_FPStartDate,0,COLUMN()),"YYYYMMDD"),"END_DATE_OVERRIDE",TEXT(INDEX(MO_Common_QEndDate,0,COLUMN()),"YYYYMMDD")),"N/A")</f>
        <v>N/A</v>
      </c>
      <c r="BD558" s="282" t="str">
        <f ca="1">IFERROR(BDP(MO.Ticker.Bloomberg&amp;" Equity","INTERVAL_LOW","MARKET_DATA_OVERRIDE=PX_LAST","START_DATE_OVERRIDE",TEXT(INDEX(MO_SNA_FPStartDate,0,COLUMN()),"YYYYMMDD"),"END_DATE_OVERRIDE",TEXT(INDEX(MO_Common_QEndDate,0,COLUMN()),"YYYYMMDD")),"N/A")</f>
        <v>N/A</v>
      </c>
      <c r="BE558" s="282" t="str">
        <f ca="1">IFERROR(BDP(MO.Ticker.Bloomberg&amp;" Equity","INTERVAL_LOW","MARKET_DATA_OVERRIDE=PX_LAST","START_DATE_OVERRIDE",TEXT(INDEX(MO_SNA_FPStartDate,0,COLUMN()),"YYYYMMDD"),"END_DATE_OVERRIDE",TEXT(INDEX(MO_Common_QEndDate,0,COLUMN()),"YYYYMMDD")),"N/A")</f>
        <v>N/A</v>
      </c>
      <c r="BF558" s="282" t="str">
        <f ca="1">IFERROR(BDP(MO.Ticker.Bloomberg&amp;" Equity","INTERVAL_LOW","MARKET_DATA_OVERRIDE=PX_LAST","START_DATE_OVERRIDE",TEXT(INDEX(MO_SNA_FPStartDate,0,COLUMN()),"YYYYMMDD"),"END_DATE_OVERRIDE",TEXT(INDEX(MO_Common_QEndDate,0,COLUMN()),"YYYYMMDD")),"N/A")</f>
        <v>N/A</v>
      </c>
      <c r="BG558" s="282" t="str">
        <f ca="1">IFERROR(BDP(MO.Ticker.Bloomberg&amp;" Equity","INTERVAL_LOW","MARKET_DATA_OVERRIDE=PX_LAST","START_DATE_OVERRIDE",TEXT(INDEX(MO_SNA_FPStartDate,0,COLUMN()),"YYYYMMDD"),"END_DATE_OVERRIDE",TEXT(INDEX(MO_Common_QEndDate,0,COLUMN()),"YYYYMMDD")),"N/A")</f>
        <v>N/A</v>
      </c>
      <c r="BH558" s="560" t="str">
        <f ca="1">IFERROR(BDP(MO.Ticker.Bloomberg&amp;" Equity","INTERVAL_LOW","MARKET_DATA_OVERRIDE=PX_LAST","START_DATE_OVERRIDE",TEXT(INDEX(MO_SNA_FPStartDate,0,COLUMN()),"YYYYMMDD"),"END_DATE_OVERRIDE",TEXT(INDEX(MO_Common_QEndDate,0,COLUMN()),"YYYYMMDD")),"N/A")</f>
        <v>N/A</v>
      </c>
      <c r="BI558" s="282" t="str">
        <f ca="1">IFERROR(BDP(MO.Ticker.Bloomberg&amp;" Equity","INTERVAL_LOW","MARKET_DATA_OVERRIDE=PX_LAST","START_DATE_OVERRIDE",TEXT(INDEX(MO_SNA_FPStartDate,0,COLUMN()),"YYYYMMDD"),"END_DATE_OVERRIDE",TEXT(INDEX(MO_Common_QEndDate,0,COLUMN()),"YYYYMMDD")),"N/A")</f>
        <v>N/A</v>
      </c>
      <c r="BJ558" s="282" t="str">
        <f ca="1">IFERROR(BDP(MO.Ticker.Bloomberg&amp;" Equity","INTERVAL_LOW","MARKET_DATA_OVERRIDE=PX_LAST","START_DATE_OVERRIDE",TEXT(INDEX(MO_SNA_FPStartDate,0,COLUMN()),"YYYYMMDD"),"END_DATE_OVERRIDE",TEXT(INDEX(MO_Common_QEndDate,0,COLUMN()),"YYYYMMDD")),"N/A")</f>
        <v>N/A</v>
      </c>
      <c r="BK558" s="282" t="str">
        <f ca="1">IFERROR(BDP(MO.Ticker.Bloomberg&amp;" Equity","INTERVAL_LOW","MARKET_DATA_OVERRIDE=PX_LAST","START_DATE_OVERRIDE",TEXT(INDEX(MO_SNA_FPStartDate,0,COLUMN()),"YYYYMMDD"),"END_DATE_OVERRIDE",TEXT(INDEX(MO_Common_QEndDate,0,COLUMN()),"YYYYMMDD")),"N/A")</f>
        <v>N/A</v>
      </c>
      <c r="BL558" s="282" t="str">
        <f ca="1">IFERROR(BDP(MO.Ticker.Bloomberg&amp;" Equity","INTERVAL_LOW","MARKET_DATA_OVERRIDE=PX_LAST","START_DATE_OVERRIDE",TEXT(INDEX(MO_SNA_FPStartDate,0,COLUMN()),"YYYYMMDD"),"END_DATE_OVERRIDE",TEXT(INDEX(MO_Common_QEndDate,0,COLUMN()),"YYYYMMDD")),"N/A")</f>
        <v>N/A</v>
      </c>
      <c r="BM558" s="282" t="str">
        <f ca="1">IFERROR(BDP(MO.Ticker.Bloomberg&amp;" Equity","INTERVAL_LOW","MARKET_DATA_OVERRIDE=PX_LAST","START_DATE_OVERRIDE",TEXT(INDEX(MO_SNA_FPStartDate,0,COLUMN()),"YYYYMMDD"),"END_DATE_OVERRIDE",TEXT(INDEX(MO_Common_QEndDate,0,COLUMN()),"YYYYMMDD")),"N/A")</f>
        <v>N/A</v>
      </c>
      <c r="BN558" s="282" t="str">
        <f ca="1">IFERROR(BDP(MO.Ticker.Bloomberg&amp;" Equity","INTERVAL_LOW","MARKET_DATA_OVERRIDE=PX_LAST","START_DATE_OVERRIDE",TEXT(INDEX(MO_SNA_FPStartDate,0,COLUMN()),"YYYYMMDD"),"END_DATE_OVERRIDE",TEXT(INDEX(MO_Common_QEndDate,0,COLUMN()),"YYYYMMDD")),"N/A")</f>
        <v>N/A</v>
      </c>
      <c r="BO558" s="282" t="str">
        <f ca="1">IFERROR(BDP(MO.Ticker.Bloomberg&amp;" Equity","INTERVAL_LOW","MARKET_DATA_OVERRIDE=PX_LAST","START_DATE_OVERRIDE",TEXT(INDEX(MO_SNA_FPStartDate,0,COLUMN()),"YYYYMMDD"),"END_DATE_OVERRIDE",TEXT(INDEX(MO_Common_QEndDate,0,COLUMN()),"YYYYMMDD")),"N/A")</f>
        <v>N/A</v>
      </c>
      <c r="BP558" s="282" t="str">
        <f ca="1">IFERROR(BDP(MO.Ticker.Bloomberg&amp;" Equity","INTERVAL_LOW","MARKET_DATA_OVERRIDE=PX_LAST","START_DATE_OVERRIDE",TEXT(INDEX(MO_SNA_FPStartDate,0,COLUMN()),"YYYYMMDD"),"END_DATE_OVERRIDE",TEXT(INDEX(MO_Common_QEndDate,0,COLUMN()),"YYYYMMDD")),"N/A")</f>
        <v>N/A</v>
      </c>
      <c r="BQ558" s="282" t="str">
        <f ca="1">IFERROR(BDP(MO.Ticker.Bloomberg&amp;" Equity","INTERVAL_LOW","MARKET_DATA_OVERRIDE=PX_LAST","START_DATE_OVERRIDE",TEXT(INDEX(MO_SNA_FPStartDate,0,COLUMN()),"YYYYMMDD"),"END_DATE_OVERRIDE",TEXT(INDEX(MO_Common_QEndDate,0,COLUMN()),"YYYYMMDD")),"N/A")</f>
        <v>N/A</v>
      </c>
      <c r="BR558" s="284" t="str">
        <f ca="1">IFERROR(BDP(MO.Ticker.Bloomberg&amp;" Equity","INTERVAL_LOW","MARKET_DATA_OVERRIDE=PX_LAST","START_DATE_OVERRIDE",TEXT(INDEX(MO_SNA_FPStartDate,0,COLUMN()),"YYYYMMDD"),"END_DATE_OVERRIDE",TEXT(INDEX(MO_Common_QEndDate,0,COLUMN()),"YYYYMMDD")),"N/A")</f>
        <v>N/A</v>
      </c>
      <c r="BS558" s="323"/>
    </row>
    <row r="559" spans="1:71" s="285" customFormat="1" ht="15" hidden="1" outlineLevel="1">
      <c r="A559" s="286" t="s">
        <v>212</v>
      </c>
      <c r="B559" s="282"/>
      <c r="C559" s="283" t="str">
        <f ca="1">IFERROR(CIQLO(MO.Ticker.CapIQ,"IQ_LASTSALEPRICE",INDEX(MO_SNA_FPStartDate,0,COLUMN()),INDEX(MO_Common_QEndDate,0,COLUMN())),"N/A")</f>
        <v>N/A</v>
      </c>
      <c r="D559" s="283" t="str">
        <f ca="1">IFERROR(CIQLO(MO.Ticker.CapIQ,"IQ_LASTSALEPRICE",INDEX(MO_SNA_FPStartDate,0,COLUMN()),INDEX(MO_Common_QEndDate,0,COLUMN())),"N/A")</f>
        <v>N/A</v>
      </c>
      <c r="E559" s="282" t="str">
        <f ca="1">IFERROR(CIQLO(MO.Ticker.CapIQ,"IQ_LASTSALEPRICE",INDEX(MO_SNA_FPStartDate,0,COLUMN()),INDEX(MO_Common_QEndDate,0,COLUMN())),"N/A")</f>
        <v>N/A</v>
      </c>
      <c r="F559" s="282" t="str">
        <f ca="1">IFERROR(CIQLO(MO.Ticker.CapIQ,"IQ_LASTSALEPRICE",INDEX(MO_SNA_FPStartDate,0,COLUMN()),INDEX(MO_Common_QEndDate,0,COLUMN())),"N/A")</f>
        <v>N/A</v>
      </c>
      <c r="G559" s="282" t="str">
        <f ca="1">IFERROR(CIQLO(MO.Ticker.CapIQ,"IQ_LASTSALEPRICE",INDEX(MO_SNA_FPStartDate,0,COLUMN()),INDEX(MO_Common_QEndDate,0,COLUMN())),"N/A")</f>
        <v>N/A</v>
      </c>
      <c r="H559" s="282" t="str">
        <f ca="1">IFERROR(CIQLO(MO.Ticker.CapIQ,"IQ_LASTSALEPRICE",INDEX(MO_SNA_FPStartDate,0,COLUMN()),INDEX(MO_Common_QEndDate,0,COLUMN())),"N/A")</f>
        <v>N/A</v>
      </c>
      <c r="I559" s="282" t="str">
        <f ca="1">IFERROR(CIQLO(MO.Ticker.CapIQ,"IQ_LASTSALEPRICE",INDEX(MO_SNA_FPStartDate,0,COLUMN()),INDEX(MO_Common_QEndDate,0,COLUMN())),"N/A")</f>
        <v>N/A</v>
      </c>
      <c r="J559" s="282" t="str">
        <f ca="1">IFERROR(CIQLO(MO.Ticker.CapIQ,"IQ_LASTSALEPRICE",INDEX(MO_SNA_FPStartDate,0,COLUMN()),INDEX(MO_Common_QEndDate,0,COLUMN())),"N/A")</f>
        <v>N/A</v>
      </c>
      <c r="K559" s="282" t="str">
        <f ca="1">IFERROR(CIQLO(MO.Ticker.CapIQ,"IQ_LASTSALEPRICE",INDEX(MO_SNA_FPStartDate,0,COLUMN()),INDEX(MO_Common_QEndDate,0,COLUMN())),"N/A")</f>
        <v>N/A</v>
      </c>
      <c r="L559" s="282" t="str">
        <f ca="1">IFERROR(CIQLO(MO.Ticker.CapIQ,"IQ_LASTSALEPRICE",INDEX(MO_SNA_FPStartDate,0,COLUMN()),INDEX(MO_Common_QEndDate,0,COLUMN())),"N/A")</f>
        <v>N/A</v>
      </c>
      <c r="M559" s="282" t="str">
        <f ca="1">IFERROR(CIQLO(MO.Ticker.CapIQ,"IQ_LASTSALEPRICE",INDEX(MO_SNA_FPStartDate,0,COLUMN()),INDEX(MO_Common_QEndDate,0,COLUMN())),"N/A")</f>
        <v>N/A</v>
      </c>
      <c r="N559" s="282" t="str">
        <f ca="1">IFERROR(CIQLO(MO.Ticker.CapIQ,"IQ_LASTSALEPRICE",INDEX(MO_SNA_FPStartDate,0,COLUMN()),INDEX(MO_Common_QEndDate,0,COLUMN())),"N/A")</f>
        <v>N/A</v>
      </c>
      <c r="O559" s="282" t="str">
        <f ca="1">IFERROR(CIQLO(MO.Ticker.CapIQ,"IQ_LASTSALEPRICE",INDEX(MO_SNA_FPStartDate,0,COLUMN()),INDEX(MO_Common_QEndDate,0,COLUMN())),"N/A")</f>
        <v>N/A</v>
      </c>
      <c r="P559" s="282" t="str">
        <f ca="1">IFERROR(CIQLO(MO.Ticker.CapIQ,"IQ_LASTSALEPRICE",INDEX(MO_SNA_FPStartDate,0,COLUMN()),INDEX(MO_Common_QEndDate,0,COLUMN())),"N/A")</f>
        <v>N/A</v>
      </c>
      <c r="Q559" s="282" t="str">
        <f ca="1">IFERROR(CIQLO(MO.Ticker.CapIQ,"IQ_LASTSALEPRICE",INDEX(MO_SNA_FPStartDate,0,COLUMN()),INDEX(MO_Common_QEndDate,0,COLUMN())),"N/A")</f>
        <v>N/A</v>
      </c>
      <c r="R559" s="282" t="str">
        <f ca="1">IFERROR(CIQLO(MO.Ticker.CapIQ,"IQ_LASTSALEPRICE",INDEX(MO_SNA_FPStartDate,0,COLUMN()),INDEX(MO_Common_QEndDate,0,COLUMN())),"N/A")</f>
        <v>N/A</v>
      </c>
      <c r="S559" s="282" t="str">
        <f ca="1">IFERROR(CIQLO(MO.Ticker.CapIQ,"IQ_LASTSALEPRICE",INDEX(MO_SNA_FPStartDate,0,COLUMN()),INDEX(MO_Common_QEndDate,0,COLUMN())),"N/A")</f>
        <v>N/A</v>
      </c>
      <c r="T559" s="282" t="str">
        <f ca="1">IFERROR(CIQLO(MO.Ticker.CapIQ,"IQ_LASTSALEPRICE",INDEX(MO_SNA_FPStartDate,0,COLUMN()),INDEX(MO_Common_QEndDate,0,COLUMN())),"N/A")</f>
        <v>N/A</v>
      </c>
      <c r="U559" s="282" t="str">
        <f ca="1">IFERROR(CIQLO(MO.Ticker.CapIQ,"IQ_LASTSALEPRICE",INDEX(MO_SNA_FPStartDate,0,COLUMN()),INDEX(MO_Common_QEndDate,0,COLUMN())),"N/A")</f>
        <v>N/A</v>
      </c>
      <c r="V559" s="282" t="str">
        <f ca="1">IFERROR(CIQLO(MO.Ticker.CapIQ,"IQ_LASTSALEPRICE",INDEX(MO_SNA_FPStartDate,0,COLUMN()),INDEX(MO_Common_QEndDate,0,COLUMN())),"N/A")</f>
        <v>N/A</v>
      </c>
      <c r="W559" s="282" t="str">
        <f ca="1">IFERROR(CIQLO(MO.Ticker.CapIQ,"IQ_LASTSALEPRICE",INDEX(MO_SNA_FPStartDate,0,COLUMN()),INDEX(MO_Common_QEndDate,0,COLUMN())),"N/A")</f>
        <v>N/A</v>
      </c>
      <c r="X559" s="282" t="str">
        <f ca="1">IFERROR(CIQLO(MO.Ticker.CapIQ,"IQ_LASTSALEPRICE",INDEX(MO_SNA_FPStartDate,0,COLUMN()),INDEX(MO_Common_QEndDate,0,COLUMN())),"N/A")</f>
        <v>N/A</v>
      </c>
      <c r="Y559" s="282" t="str">
        <f ca="1">IFERROR(CIQLO(MO.Ticker.CapIQ,"IQ_LASTSALEPRICE",INDEX(MO_SNA_FPStartDate,0,COLUMN()),INDEX(MO_Common_QEndDate,0,COLUMN())),"N/A")</f>
        <v>N/A</v>
      </c>
      <c r="Z559" s="282" t="str">
        <f ca="1">IFERROR(CIQLO(MO.Ticker.CapIQ,"IQ_LASTSALEPRICE",INDEX(MO_SNA_FPStartDate,0,COLUMN()),INDEX(MO_Common_QEndDate,0,COLUMN())),"N/A")</f>
        <v>N/A</v>
      </c>
      <c r="AA559" s="282" t="str">
        <f ca="1">IFERROR(CIQLO(MO.Ticker.CapIQ,"IQ_LASTSALEPRICE",INDEX(MO_SNA_FPStartDate,0,COLUMN()),INDEX(MO_Common_QEndDate,0,COLUMN())),"N/A")</f>
        <v>N/A</v>
      </c>
      <c r="AB559" s="282" t="str">
        <f ca="1">IFERROR(CIQLO(MO.Ticker.CapIQ,"IQ_LASTSALEPRICE",INDEX(MO_SNA_FPStartDate,0,COLUMN()),INDEX(MO_Common_QEndDate,0,COLUMN())),"N/A")</f>
        <v>N/A</v>
      </c>
      <c r="AC559" s="282" t="str">
        <f ca="1">IFERROR(CIQLO(MO.Ticker.CapIQ,"IQ_LASTSALEPRICE",INDEX(MO_SNA_FPStartDate,0,COLUMN()),INDEX(MO_Common_QEndDate,0,COLUMN())),"N/A")</f>
        <v>N/A</v>
      </c>
      <c r="AD559" s="282" t="str">
        <f ca="1">IFERROR(CIQLO(MO.Ticker.CapIQ,"IQ_LASTSALEPRICE",INDEX(MO_SNA_FPStartDate,0,COLUMN()),INDEX(MO_Common_QEndDate,0,COLUMN())),"N/A")</f>
        <v>N/A</v>
      </c>
      <c r="AE559" s="282" t="str">
        <f ca="1">IFERROR(CIQLO(MO.Ticker.CapIQ,"IQ_LASTSALEPRICE",INDEX(MO_SNA_FPStartDate,0,COLUMN()),INDEX(MO_Common_QEndDate,0,COLUMN())),"N/A")</f>
        <v>N/A</v>
      </c>
      <c r="AF559" s="282" t="str">
        <f ca="1">IFERROR(CIQLO(MO.Ticker.CapIQ,"IQ_LASTSALEPRICE",INDEX(MO_SNA_FPStartDate,0,COLUMN()),INDEX(MO_Common_QEndDate,0,COLUMN())),"N/A")</f>
        <v>N/A</v>
      </c>
      <c r="AG559" s="282" t="str">
        <f ca="1">IFERROR(CIQLO(MO.Ticker.CapIQ,"IQ_LASTSALEPRICE",INDEX(MO_SNA_FPStartDate,0,COLUMN()),INDEX(MO_Common_QEndDate,0,COLUMN())),"N/A")</f>
        <v>N/A</v>
      </c>
      <c r="AH559" s="282" t="str">
        <f ca="1">IFERROR(CIQLO(MO.Ticker.CapIQ,"IQ_LASTSALEPRICE",INDEX(MO_SNA_FPStartDate,0,COLUMN()),INDEX(MO_Common_QEndDate,0,COLUMN())),"N/A")</f>
        <v>N/A</v>
      </c>
      <c r="AI559" s="282" t="str">
        <f ca="1">IFERROR(CIQLO(MO.Ticker.CapIQ,"IQ_LASTSALEPRICE",INDEX(MO_SNA_FPStartDate,0,COLUMN()),INDEX(MO_Common_QEndDate,0,COLUMN())),"N/A")</f>
        <v>N/A</v>
      </c>
      <c r="AJ559" s="282" t="str">
        <f ca="1">IFERROR(CIQLO(MO.Ticker.CapIQ,"IQ_LASTSALEPRICE",INDEX(MO_SNA_FPStartDate,0,COLUMN()),INDEX(MO_Common_QEndDate,0,COLUMN())),"N/A")</f>
        <v>N/A</v>
      </c>
      <c r="AK559" s="282" t="str">
        <f ca="1">IFERROR(CIQLO(MO.Ticker.CapIQ,"IQ_LASTSALEPRICE",INDEX(MO_SNA_FPStartDate,0,COLUMN()),INDEX(MO_Common_QEndDate,0,COLUMN())),"N/A")</f>
        <v>N/A</v>
      </c>
      <c r="AL559" s="282" t="str">
        <f ca="1">IFERROR(CIQLO(MO.Ticker.CapIQ,"IQ_LASTSALEPRICE",INDEX(MO_SNA_FPStartDate,0,COLUMN()),INDEX(MO_Common_QEndDate,0,COLUMN())),"N/A")</f>
        <v>N/A</v>
      </c>
      <c r="AM559" s="282" t="str">
        <f ca="1">IFERROR(CIQLO(MO.Ticker.CapIQ,"IQ_LASTSALEPRICE",INDEX(MO_SNA_FPStartDate,0,COLUMN()),INDEX(MO_Common_QEndDate,0,COLUMN())),"N/A")</f>
        <v>N/A</v>
      </c>
      <c r="AN559" s="282" t="str">
        <f ca="1">IFERROR(CIQLO(MO.Ticker.CapIQ,"IQ_LASTSALEPRICE",INDEX(MO_SNA_FPStartDate,0,COLUMN()),INDEX(MO_Common_QEndDate,0,COLUMN())),"N/A")</f>
        <v>N/A</v>
      </c>
      <c r="AO559" s="282" t="str">
        <f ca="1">IFERROR(CIQLO(MO.Ticker.CapIQ,"IQ_LASTSALEPRICE",INDEX(MO_SNA_FPStartDate,0,COLUMN()),INDEX(MO_Common_QEndDate,0,COLUMN())),"N/A")</f>
        <v>N/A</v>
      </c>
      <c r="AP559" s="282" t="str">
        <f ca="1">IFERROR(CIQLO(MO.Ticker.CapIQ,"IQ_LASTSALEPRICE",INDEX(MO_SNA_FPStartDate,0,COLUMN()),INDEX(MO_Common_QEndDate,0,COLUMN())),"N/A")</f>
        <v>N/A</v>
      </c>
      <c r="AQ559" s="282" t="str">
        <f ca="1">IFERROR(CIQLO(MO.Ticker.CapIQ,"IQ_LASTSALEPRICE",INDEX(MO_SNA_FPStartDate,0,COLUMN()),INDEX(MO_Common_QEndDate,0,COLUMN())),"N/A")</f>
        <v>N/A</v>
      </c>
      <c r="AR559" s="282" t="str">
        <f ca="1">IFERROR(CIQLO(MO.Ticker.CapIQ,"IQ_LASTSALEPRICE",INDEX(MO_SNA_FPStartDate,0,COLUMN()),INDEX(MO_Common_QEndDate,0,COLUMN())),"N/A")</f>
        <v>N/A</v>
      </c>
      <c r="AS559" s="282" t="str">
        <f ca="1">IFERROR(CIQLO(MO.Ticker.CapIQ,"IQ_LASTSALEPRICE",INDEX(MO_SNA_FPStartDate,0,COLUMN()),INDEX(MO_Common_QEndDate,0,COLUMN())),"N/A")</f>
        <v>N/A</v>
      </c>
      <c r="AT559" s="282" t="str">
        <f ca="1">IFERROR(CIQLO(MO.Ticker.CapIQ,"IQ_LASTSALEPRICE",INDEX(MO_SNA_FPStartDate,0,COLUMN()),INDEX(MO_Common_QEndDate,0,COLUMN())),"N/A")</f>
        <v>N/A</v>
      </c>
      <c r="AU559" s="282" t="str">
        <f ca="1">IFERROR(CIQLO(MO.Ticker.CapIQ,"IQ_LASTSALEPRICE",INDEX(MO_SNA_FPStartDate,0,COLUMN()),INDEX(MO_Common_QEndDate,0,COLUMN())),"N/A")</f>
        <v>N/A</v>
      </c>
      <c r="AV559" s="282" t="str">
        <f ca="1">IFERROR(CIQLO(MO.Ticker.CapIQ,"IQ_LASTSALEPRICE",INDEX(MO_SNA_FPStartDate,0,COLUMN()),INDEX(MO_Common_QEndDate,0,COLUMN())),"N/A")</f>
        <v>N/A</v>
      </c>
      <c r="AW559" s="282" t="str">
        <f ca="1">IFERROR(CIQLO(MO.Ticker.CapIQ,"IQ_LASTSALEPRICE",INDEX(MO_SNA_FPStartDate,0,COLUMN()),INDEX(MO_Common_QEndDate,0,COLUMN())),"N/A")</f>
        <v>N/A</v>
      </c>
      <c r="AX559" s="282" t="str">
        <f ca="1">IFERROR(CIQLO(MO.Ticker.CapIQ,"IQ_LASTSALEPRICE",INDEX(MO_SNA_FPStartDate,0,COLUMN()),INDEX(MO_Common_QEndDate,0,COLUMN())),"N/A")</f>
        <v>N/A</v>
      </c>
      <c r="AY559" s="282" t="str">
        <f ca="1">IFERROR(CIQLO(MO.Ticker.CapIQ,"IQ_LASTSALEPRICE",INDEX(MO_SNA_FPStartDate,0,COLUMN()),INDEX(MO_Common_QEndDate,0,COLUMN())),"N/A")</f>
        <v>N/A</v>
      </c>
      <c r="AZ559" s="282" t="str">
        <f ca="1">IFERROR(CIQLO(MO.Ticker.CapIQ,"IQ_LASTSALEPRICE",INDEX(MO_SNA_FPStartDate,0,COLUMN()),INDEX(MO_Common_QEndDate,0,COLUMN())),"N/A")</f>
        <v>N/A</v>
      </c>
      <c r="BA559" s="282" t="str">
        <f ca="1">IFERROR(CIQLO(MO.Ticker.CapIQ,"IQ_LASTSALEPRICE",INDEX(MO_SNA_FPStartDate,0,COLUMN()),INDEX(MO_Common_QEndDate,0,COLUMN())),"N/A")</f>
        <v>N/A</v>
      </c>
      <c r="BB559" s="282" t="str">
        <f ca="1">IFERROR(CIQLO(MO.Ticker.CapIQ,"IQ_LASTSALEPRICE",INDEX(MO_SNA_FPStartDate,0,COLUMN()),INDEX(MO_Common_QEndDate,0,COLUMN())),"N/A")</f>
        <v>N/A</v>
      </c>
      <c r="BC559" s="282" t="str">
        <f ca="1">IFERROR(CIQLO(MO.Ticker.CapIQ,"IQ_LASTSALEPRICE",INDEX(MO_SNA_FPStartDate,0,COLUMN()),INDEX(MO_Common_QEndDate,0,COLUMN())),"N/A")</f>
        <v>N/A</v>
      </c>
      <c r="BD559" s="282" t="str">
        <f ca="1">IFERROR(CIQLO(MO.Ticker.CapIQ,"IQ_LASTSALEPRICE",INDEX(MO_SNA_FPStartDate,0,COLUMN()),INDEX(MO_Common_QEndDate,0,COLUMN())),"N/A")</f>
        <v>N/A</v>
      </c>
      <c r="BE559" s="282" t="str">
        <f ca="1">IFERROR(CIQLO(MO.Ticker.CapIQ,"IQ_LASTSALEPRICE",INDEX(MO_SNA_FPStartDate,0,COLUMN()),INDEX(MO_Common_QEndDate,0,COLUMN())),"N/A")</f>
        <v>N/A</v>
      </c>
      <c r="BF559" s="282" t="str">
        <f ca="1">IFERROR(CIQLO(MO.Ticker.CapIQ,"IQ_LASTSALEPRICE",INDEX(MO_SNA_FPStartDate,0,COLUMN()),INDEX(MO_Common_QEndDate,0,COLUMN())),"N/A")</f>
        <v>N/A</v>
      </c>
      <c r="BG559" s="282" t="str">
        <f ca="1">IFERROR(CIQLO(MO.Ticker.CapIQ,"IQ_LASTSALEPRICE",INDEX(MO_SNA_FPStartDate,0,COLUMN()),INDEX(MO_Common_QEndDate,0,COLUMN())),"N/A")</f>
        <v>N/A</v>
      </c>
      <c r="BH559" s="560" t="str">
        <f ca="1">IFERROR(CIQLO(MO.Ticker.CapIQ,"IQ_LASTSALEPRICE",INDEX(MO_SNA_FPStartDate,0,COLUMN()),INDEX(MO_Common_QEndDate,0,COLUMN())),"N/A")</f>
        <v>N/A</v>
      </c>
      <c r="BI559" s="282" t="str">
        <f ca="1">IFERROR(CIQLO(MO.Ticker.CapIQ,"IQ_LASTSALEPRICE",INDEX(MO_SNA_FPStartDate,0,COLUMN()),INDEX(MO_Common_QEndDate,0,COLUMN())),"N/A")</f>
        <v>N/A</v>
      </c>
      <c r="BJ559" s="282" t="str">
        <f ca="1">IFERROR(CIQLO(MO.Ticker.CapIQ,"IQ_LASTSALEPRICE",INDEX(MO_SNA_FPStartDate,0,COLUMN()),INDEX(MO_Common_QEndDate,0,COLUMN())),"N/A")</f>
        <v>N/A</v>
      </c>
      <c r="BK559" s="282" t="str">
        <f ca="1">IFERROR(CIQLO(MO.Ticker.CapIQ,"IQ_LASTSALEPRICE",INDEX(MO_SNA_FPStartDate,0,COLUMN()),INDEX(MO_Common_QEndDate,0,COLUMN())),"N/A")</f>
        <v>N/A</v>
      </c>
      <c r="BL559" s="282" t="str">
        <f ca="1">IFERROR(CIQLO(MO.Ticker.CapIQ,"IQ_LASTSALEPRICE",INDEX(MO_SNA_FPStartDate,0,COLUMN()),INDEX(MO_Common_QEndDate,0,COLUMN())),"N/A")</f>
        <v>N/A</v>
      </c>
      <c r="BM559" s="282" t="str">
        <f ca="1">IFERROR(CIQLO(MO.Ticker.CapIQ,"IQ_LASTSALEPRICE",INDEX(MO_SNA_FPStartDate,0,COLUMN()),INDEX(MO_Common_QEndDate,0,COLUMN())),"N/A")</f>
        <v>N/A</v>
      </c>
      <c r="BN559" s="282" t="str">
        <f ca="1">IFERROR(CIQLO(MO.Ticker.CapIQ,"IQ_LASTSALEPRICE",INDEX(MO_SNA_FPStartDate,0,COLUMN()),INDEX(MO_Common_QEndDate,0,COLUMN())),"N/A")</f>
        <v>N/A</v>
      </c>
      <c r="BO559" s="282" t="str">
        <f ca="1">IFERROR(CIQLO(MO.Ticker.CapIQ,"IQ_LASTSALEPRICE",INDEX(MO_SNA_FPStartDate,0,COLUMN()),INDEX(MO_Common_QEndDate,0,COLUMN())),"N/A")</f>
        <v>N/A</v>
      </c>
      <c r="BP559" s="282" t="str">
        <f ca="1">IFERROR(CIQLO(MO.Ticker.CapIQ,"IQ_LASTSALEPRICE",INDEX(MO_SNA_FPStartDate,0,COLUMN()),INDEX(MO_Common_QEndDate,0,COLUMN())),"N/A")</f>
        <v>N/A</v>
      </c>
      <c r="BQ559" s="282" t="str">
        <f ca="1">IFERROR(CIQLO(MO.Ticker.CapIQ,"IQ_LASTSALEPRICE",INDEX(MO_SNA_FPStartDate,0,COLUMN()),INDEX(MO_Common_QEndDate,0,COLUMN())),"N/A")</f>
        <v>N/A</v>
      </c>
      <c r="BR559" s="284" t="str">
        <f ca="1">IFERROR(CIQLO(MO.Ticker.CapIQ,"IQ_LASTSALEPRICE",INDEX(MO_SNA_FPStartDate,0,COLUMN()),INDEX(MO_Common_QEndDate,0,COLUMN())),"N/A")</f>
        <v>N/A</v>
      </c>
      <c r="BS559" s="323"/>
    </row>
    <row r="560" spans="1:71" s="285" customFormat="1" ht="15" hidden="1" outlineLevel="1">
      <c r="A560" s="286" t="s">
        <v>213</v>
      </c>
      <c r="B560" s="282"/>
      <c r="C560" s="283" t="str">
        <f ca="1">IFERROR(FDS(MO.Ticker.FactSet,"P_PRICE_LOW"&amp;"("&amp;INDEX(MO_SNA_FPStartDate,0,COLUMN())&amp;","&amp;INDEX(MO_Common_QEndDate,0,COLUMN())&amp;",,,,""PRICE"",""CLOSE"")"),"N/A")</f>
        <v>N/A</v>
      </c>
      <c r="D560" s="283" t="str">
        <f ca="1">IFERROR(FDS(MO.Ticker.FactSet,"P_PRICE_LOW"&amp;"("&amp;INDEX(MO_SNA_FPStartDate,0,COLUMN())&amp;","&amp;INDEX(MO_Common_QEndDate,0,COLUMN())&amp;",,,,""PRICE"",""CLOSE"")"),"N/A")</f>
        <v>N/A</v>
      </c>
      <c r="E560" s="282" t="str">
        <f ca="1">IFERROR(FDS(MO.Ticker.FactSet,"P_PRICE_LOW"&amp;"("&amp;INDEX(MO_SNA_FPStartDate,0,COLUMN())&amp;","&amp;INDEX(MO_Common_QEndDate,0,COLUMN())&amp;",,,,""PRICE"",""CLOSE"")"),"N/A")</f>
        <v>N/A</v>
      </c>
      <c r="F560" s="282" t="str">
        <f ca="1">IFERROR(FDS(MO.Ticker.FactSet,"P_PRICE_LOW"&amp;"("&amp;INDEX(MO_SNA_FPStartDate,0,COLUMN())&amp;","&amp;INDEX(MO_Common_QEndDate,0,COLUMN())&amp;",,,,""PRICE"",""CLOSE"")"),"N/A")</f>
        <v>N/A</v>
      </c>
      <c r="G560" s="282" t="str">
        <f ca="1">IFERROR(FDS(MO.Ticker.FactSet,"P_PRICE_LOW"&amp;"("&amp;INDEX(MO_SNA_FPStartDate,0,COLUMN())&amp;","&amp;INDEX(MO_Common_QEndDate,0,COLUMN())&amp;",,,,""PRICE"",""CLOSE"")"),"N/A")</f>
        <v>N/A</v>
      </c>
      <c r="H560" s="282" t="str">
        <f ca="1">IFERROR(FDS(MO.Ticker.FactSet,"P_PRICE_LOW"&amp;"("&amp;INDEX(MO_SNA_FPStartDate,0,COLUMN())&amp;","&amp;INDEX(MO_Common_QEndDate,0,COLUMN())&amp;",,,,""PRICE"",""CLOSE"")"),"N/A")</f>
        <v>N/A</v>
      </c>
      <c r="I560" s="282" t="str">
        <f ca="1">IFERROR(FDS(MO.Ticker.FactSet,"P_PRICE_LOW"&amp;"("&amp;INDEX(MO_SNA_FPStartDate,0,COLUMN())&amp;","&amp;INDEX(MO_Common_QEndDate,0,COLUMN())&amp;",,,,""PRICE"",""CLOSE"")"),"N/A")</f>
        <v>N/A</v>
      </c>
      <c r="J560" s="282" t="str">
        <f ca="1">IFERROR(FDS(MO.Ticker.FactSet,"P_PRICE_LOW"&amp;"("&amp;INDEX(MO_SNA_FPStartDate,0,COLUMN())&amp;","&amp;INDEX(MO_Common_QEndDate,0,COLUMN())&amp;",,,,""PRICE"",""CLOSE"")"),"N/A")</f>
        <v>N/A</v>
      </c>
      <c r="K560" s="282" t="str">
        <f ca="1">IFERROR(FDS(MO.Ticker.FactSet,"P_PRICE_LOW"&amp;"("&amp;INDEX(MO_SNA_FPStartDate,0,COLUMN())&amp;","&amp;INDEX(MO_Common_QEndDate,0,COLUMN())&amp;",,,,""PRICE"",""CLOSE"")"),"N/A")</f>
        <v>N/A</v>
      </c>
      <c r="L560" s="282" t="str">
        <f ca="1">IFERROR(FDS(MO.Ticker.FactSet,"P_PRICE_LOW"&amp;"("&amp;INDEX(MO_SNA_FPStartDate,0,COLUMN())&amp;","&amp;INDEX(MO_Common_QEndDate,0,COLUMN())&amp;",,,,""PRICE"",""CLOSE"")"),"N/A")</f>
        <v>N/A</v>
      </c>
      <c r="M560" s="282" t="str">
        <f ca="1">IFERROR(FDS(MO.Ticker.FactSet,"P_PRICE_LOW"&amp;"("&amp;INDEX(MO_SNA_FPStartDate,0,COLUMN())&amp;","&amp;INDEX(MO_Common_QEndDate,0,COLUMN())&amp;",,,,""PRICE"",""CLOSE"")"),"N/A")</f>
        <v>N/A</v>
      </c>
      <c r="N560" s="282" t="str">
        <f ca="1">IFERROR(FDS(MO.Ticker.FactSet,"P_PRICE_LOW"&amp;"("&amp;INDEX(MO_SNA_FPStartDate,0,COLUMN())&amp;","&amp;INDEX(MO_Common_QEndDate,0,COLUMN())&amp;",,,,""PRICE"",""CLOSE"")"),"N/A")</f>
        <v>N/A</v>
      </c>
      <c r="O560" s="282" t="str">
        <f ca="1">IFERROR(FDS(MO.Ticker.FactSet,"P_PRICE_LOW"&amp;"("&amp;INDEX(MO_SNA_FPStartDate,0,COLUMN())&amp;","&amp;INDEX(MO_Common_QEndDate,0,COLUMN())&amp;",,,,""PRICE"",""CLOSE"")"),"N/A")</f>
        <v>N/A</v>
      </c>
      <c r="P560" s="282" t="str">
        <f ca="1">IFERROR(FDS(MO.Ticker.FactSet,"P_PRICE_LOW"&amp;"("&amp;INDEX(MO_SNA_FPStartDate,0,COLUMN())&amp;","&amp;INDEX(MO_Common_QEndDate,0,COLUMN())&amp;",,,,""PRICE"",""CLOSE"")"),"N/A")</f>
        <v>N/A</v>
      </c>
      <c r="Q560" s="282" t="str">
        <f ca="1">IFERROR(FDS(MO.Ticker.FactSet,"P_PRICE_LOW"&amp;"("&amp;INDEX(MO_SNA_FPStartDate,0,COLUMN())&amp;","&amp;INDEX(MO_Common_QEndDate,0,COLUMN())&amp;",,,,""PRICE"",""CLOSE"")"),"N/A")</f>
        <v>N/A</v>
      </c>
      <c r="R560" s="282" t="str">
        <f ca="1">IFERROR(FDS(MO.Ticker.FactSet,"P_PRICE_LOW"&amp;"("&amp;INDEX(MO_SNA_FPStartDate,0,COLUMN())&amp;","&amp;INDEX(MO_Common_QEndDate,0,COLUMN())&amp;",,,,""PRICE"",""CLOSE"")"),"N/A")</f>
        <v>N/A</v>
      </c>
      <c r="S560" s="282" t="str">
        <f ca="1">IFERROR(FDS(MO.Ticker.FactSet,"P_PRICE_LOW"&amp;"("&amp;INDEX(MO_SNA_FPStartDate,0,COLUMN())&amp;","&amp;INDEX(MO_Common_QEndDate,0,COLUMN())&amp;",,,,""PRICE"",""CLOSE"")"),"N/A")</f>
        <v>N/A</v>
      </c>
      <c r="T560" s="282" t="str">
        <f ca="1">IFERROR(FDS(MO.Ticker.FactSet,"P_PRICE_LOW"&amp;"("&amp;INDEX(MO_SNA_FPStartDate,0,COLUMN())&amp;","&amp;INDEX(MO_Common_QEndDate,0,COLUMN())&amp;",,,,""PRICE"",""CLOSE"")"),"N/A")</f>
        <v>N/A</v>
      </c>
      <c r="U560" s="282" t="str">
        <f ca="1">IFERROR(FDS(MO.Ticker.FactSet,"P_PRICE_LOW"&amp;"("&amp;INDEX(MO_SNA_FPStartDate,0,COLUMN())&amp;","&amp;INDEX(MO_Common_QEndDate,0,COLUMN())&amp;",,,,""PRICE"",""CLOSE"")"),"N/A")</f>
        <v>N/A</v>
      </c>
      <c r="V560" s="282" t="str">
        <f ca="1">IFERROR(FDS(MO.Ticker.FactSet,"P_PRICE_LOW"&amp;"("&amp;INDEX(MO_SNA_FPStartDate,0,COLUMN())&amp;","&amp;INDEX(MO_Common_QEndDate,0,COLUMN())&amp;",,,,""PRICE"",""CLOSE"")"),"N/A")</f>
        <v>N/A</v>
      </c>
      <c r="W560" s="282" t="str">
        <f ca="1">IFERROR(FDS(MO.Ticker.FactSet,"P_PRICE_LOW"&amp;"("&amp;INDEX(MO_SNA_FPStartDate,0,COLUMN())&amp;","&amp;INDEX(MO_Common_QEndDate,0,COLUMN())&amp;",,,,""PRICE"",""CLOSE"")"),"N/A")</f>
        <v>N/A</v>
      </c>
      <c r="X560" s="282" t="str">
        <f ca="1">IFERROR(FDS(MO.Ticker.FactSet,"P_PRICE_LOW"&amp;"("&amp;INDEX(MO_SNA_FPStartDate,0,COLUMN())&amp;","&amp;INDEX(MO_Common_QEndDate,0,COLUMN())&amp;",,,,""PRICE"",""CLOSE"")"),"N/A")</f>
        <v>N/A</v>
      </c>
      <c r="Y560" s="282" t="str">
        <f ca="1">IFERROR(FDS(MO.Ticker.FactSet,"P_PRICE_LOW"&amp;"("&amp;INDEX(MO_SNA_FPStartDate,0,COLUMN())&amp;","&amp;INDEX(MO_Common_QEndDate,0,COLUMN())&amp;",,,,""PRICE"",""CLOSE"")"),"N/A")</f>
        <v>N/A</v>
      </c>
      <c r="Z560" s="282" t="str">
        <f ca="1">IFERROR(FDS(MO.Ticker.FactSet,"P_PRICE_LOW"&amp;"("&amp;INDEX(MO_SNA_FPStartDate,0,COLUMN())&amp;","&amp;INDEX(MO_Common_QEndDate,0,COLUMN())&amp;",,,,""PRICE"",""CLOSE"")"),"N/A")</f>
        <v>N/A</v>
      </c>
      <c r="AA560" s="282" t="str">
        <f ca="1">IFERROR(FDS(MO.Ticker.FactSet,"P_PRICE_LOW"&amp;"("&amp;INDEX(MO_SNA_FPStartDate,0,COLUMN())&amp;","&amp;INDEX(MO_Common_QEndDate,0,COLUMN())&amp;",,,,""PRICE"",""CLOSE"")"),"N/A")</f>
        <v>N/A</v>
      </c>
      <c r="AB560" s="282" t="str">
        <f ca="1">IFERROR(FDS(MO.Ticker.FactSet,"P_PRICE_LOW"&amp;"("&amp;INDEX(MO_SNA_FPStartDate,0,COLUMN())&amp;","&amp;INDEX(MO_Common_QEndDate,0,COLUMN())&amp;",,,,""PRICE"",""CLOSE"")"),"N/A")</f>
        <v>N/A</v>
      </c>
      <c r="AC560" s="282" t="str">
        <f ca="1">IFERROR(FDS(MO.Ticker.FactSet,"P_PRICE_LOW"&amp;"("&amp;INDEX(MO_SNA_FPStartDate,0,COLUMN())&amp;","&amp;INDEX(MO_Common_QEndDate,0,COLUMN())&amp;",,,,""PRICE"",""CLOSE"")"),"N/A")</f>
        <v>N/A</v>
      </c>
      <c r="AD560" s="282" t="str">
        <f ca="1">IFERROR(FDS(MO.Ticker.FactSet,"P_PRICE_LOW"&amp;"("&amp;INDEX(MO_SNA_FPStartDate,0,COLUMN())&amp;","&amp;INDEX(MO_Common_QEndDate,0,COLUMN())&amp;",,,,""PRICE"",""CLOSE"")"),"N/A")</f>
        <v>N/A</v>
      </c>
      <c r="AE560" s="282" t="str">
        <f ca="1">IFERROR(FDS(MO.Ticker.FactSet,"P_PRICE_LOW"&amp;"("&amp;INDEX(MO_SNA_FPStartDate,0,COLUMN())&amp;","&amp;INDEX(MO_Common_QEndDate,0,COLUMN())&amp;",,,,""PRICE"",""CLOSE"")"),"N/A")</f>
        <v>N/A</v>
      </c>
      <c r="AF560" s="282" t="str">
        <f ca="1">IFERROR(FDS(MO.Ticker.FactSet,"P_PRICE_LOW"&amp;"("&amp;INDEX(MO_SNA_FPStartDate,0,COLUMN())&amp;","&amp;INDEX(MO_Common_QEndDate,0,COLUMN())&amp;",,,,""PRICE"",""CLOSE"")"),"N/A")</f>
        <v>N/A</v>
      </c>
      <c r="AG560" s="282" t="str">
        <f ca="1">IFERROR(FDS(MO.Ticker.FactSet,"P_PRICE_LOW"&amp;"("&amp;INDEX(MO_SNA_FPStartDate,0,COLUMN())&amp;","&amp;INDEX(MO_Common_QEndDate,0,COLUMN())&amp;",,,,""PRICE"",""CLOSE"")"),"N/A")</f>
        <v>N/A</v>
      </c>
      <c r="AH560" s="282" t="str">
        <f ca="1">IFERROR(FDS(MO.Ticker.FactSet,"P_PRICE_LOW"&amp;"("&amp;INDEX(MO_SNA_FPStartDate,0,COLUMN())&amp;","&amp;INDEX(MO_Common_QEndDate,0,COLUMN())&amp;",,,,""PRICE"",""CLOSE"")"),"N/A")</f>
        <v>N/A</v>
      </c>
      <c r="AI560" s="282" t="str">
        <f ca="1">IFERROR(FDS(MO.Ticker.FactSet,"P_PRICE_LOW"&amp;"("&amp;INDEX(MO_SNA_FPStartDate,0,COLUMN())&amp;","&amp;INDEX(MO_Common_QEndDate,0,COLUMN())&amp;",,,,""PRICE"",""CLOSE"")"),"N/A")</f>
        <v>N/A</v>
      </c>
      <c r="AJ560" s="282" t="str">
        <f ca="1">IFERROR(FDS(MO.Ticker.FactSet,"P_PRICE_LOW"&amp;"("&amp;INDEX(MO_SNA_FPStartDate,0,COLUMN())&amp;","&amp;INDEX(MO_Common_QEndDate,0,COLUMN())&amp;",,,,""PRICE"",""CLOSE"")"),"N/A")</f>
        <v>N/A</v>
      </c>
      <c r="AK560" s="282" t="str">
        <f ca="1">IFERROR(FDS(MO.Ticker.FactSet,"P_PRICE_LOW"&amp;"("&amp;INDEX(MO_SNA_FPStartDate,0,COLUMN())&amp;","&amp;INDEX(MO_Common_QEndDate,0,COLUMN())&amp;",,,,""PRICE"",""CLOSE"")"),"N/A")</f>
        <v>N/A</v>
      </c>
      <c r="AL560" s="282" t="str">
        <f ca="1">IFERROR(FDS(MO.Ticker.FactSet,"P_PRICE_LOW"&amp;"("&amp;INDEX(MO_SNA_FPStartDate,0,COLUMN())&amp;","&amp;INDEX(MO_Common_QEndDate,0,COLUMN())&amp;",,,,""PRICE"",""CLOSE"")"),"N/A")</f>
        <v>N/A</v>
      </c>
      <c r="AM560" s="282" t="str">
        <f ca="1">IFERROR(FDS(MO.Ticker.FactSet,"P_PRICE_LOW"&amp;"("&amp;INDEX(MO_SNA_FPStartDate,0,COLUMN())&amp;","&amp;INDEX(MO_Common_QEndDate,0,COLUMN())&amp;",,,,""PRICE"",""CLOSE"")"),"N/A")</f>
        <v>N/A</v>
      </c>
      <c r="AN560" s="282" t="str">
        <f ca="1">IFERROR(FDS(MO.Ticker.FactSet,"P_PRICE_LOW"&amp;"("&amp;INDEX(MO_SNA_FPStartDate,0,COLUMN())&amp;","&amp;INDEX(MO_Common_QEndDate,0,COLUMN())&amp;",,,,""PRICE"",""CLOSE"")"),"N/A")</f>
        <v>N/A</v>
      </c>
      <c r="AO560" s="282" t="str">
        <f ca="1">IFERROR(FDS(MO.Ticker.FactSet,"P_PRICE_LOW"&amp;"("&amp;INDEX(MO_SNA_FPStartDate,0,COLUMN())&amp;","&amp;INDEX(MO_Common_QEndDate,0,COLUMN())&amp;",,,,""PRICE"",""CLOSE"")"),"N/A")</f>
        <v>N/A</v>
      </c>
      <c r="AP560" s="282" t="str">
        <f ca="1">IFERROR(FDS(MO.Ticker.FactSet,"P_PRICE_LOW"&amp;"("&amp;INDEX(MO_SNA_FPStartDate,0,COLUMN())&amp;","&amp;INDEX(MO_Common_QEndDate,0,COLUMN())&amp;",,,,""PRICE"",""CLOSE"")"),"N/A")</f>
        <v>N/A</v>
      </c>
      <c r="AQ560" s="282" t="str">
        <f ca="1">IFERROR(FDS(MO.Ticker.FactSet,"P_PRICE_LOW"&amp;"("&amp;INDEX(MO_SNA_FPStartDate,0,COLUMN())&amp;","&amp;INDEX(MO_Common_QEndDate,0,COLUMN())&amp;",,,,""PRICE"",""CLOSE"")"),"N/A")</f>
        <v>N/A</v>
      </c>
      <c r="AR560" s="282" t="str">
        <f ca="1">IFERROR(FDS(MO.Ticker.FactSet,"P_PRICE_LOW"&amp;"("&amp;INDEX(MO_SNA_FPStartDate,0,COLUMN())&amp;","&amp;INDEX(MO_Common_QEndDate,0,COLUMN())&amp;",,,,""PRICE"",""CLOSE"")"),"N/A")</f>
        <v>N/A</v>
      </c>
      <c r="AS560" s="282" t="str">
        <f ca="1">IFERROR(FDS(MO.Ticker.FactSet,"P_PRICE_LOW"&amp;"("&amp;INDEX(MO_SNA_FPStartDate,0,COLUMN())&amp;","&amp;INDEX(MO_Common_QEndDate,0,COLUMN())&amp;",,,,""PRICE"",""CLOSE"")"),"N/A")</f>
        <v>N/A</v>
      </c>
      <c r="AT560" s="282" t="str">
        <f ca="1">IFERROR(FDS(MO.Ticker.FactSet,"P_PRICE_LOW"&amp;"("&amp;INDEX(MO_SNA_FPStartDate,0,COLUMN())&amp;","&amp;INDEX(MO_Common_QEndDate,0,COLUMN())&amp;",,,,""PRICE"",""CLOSE"")"),"N/A")</f>
        <v>N/A</v>
      </c>
      <c r="AU560" s="282" t="str">
        <f ca="1">IFERROR(FDS(MO.Ticker.FactSet,"P_PRICE_LOW"&amp;"("&amp;INDEX(MO_SNA_FPStartDate,0,COLUMN())&amp;","&amp;INDEX(MO_Common_QEndDate,0,COLUMN())&amp;",,,,""PRICE"",""CLOSE"")"),"N/A")</f>
        <v>N/A</v>
      </c>
      <c r="AV560" s="282" t="str">
        <f ca="1">IFERROR(FDS(MO.Ticker.FactSet,"P_PRICE_LOW"&amp;"("&amp;INDEX(MO_SNA_FPStartDate,0,COLUMN())&amp;","&amp;INDEX(MO_Common_QEndDate,0,COLUMN())&amp;",,,,""PRICE"",""CLOSE"")"),"N/A")</f>
        <v>N/A</v>
      </c>
      <c r="AW560" s="282" t="str">
        <f ca="1">IFERROR(FDS(MO.Ticker.FactSet,"P_PRICE_LOW"&amp;"("&amp;INDEX(MO_SNA_FPStartDate,0,COLUMN())&amp;","&amp;INDEX(MO_Common_QEndDate,0,COLUMN())&amp;",,,,""PRICE"",""CLOSE"")"),"N/A")</f>
        <v>N/A</v>
      </c>
      <c r="AX560" s="282" t="str">
        <f ca="1">IFERROR(FDS(MO.Ticker.FactSet,"P_PRICE_LOW"&amp;"("&amp;INDEX(MO_SNA_FPStartDate,0,COLUMN())&amp;","&amp;INDEX(MO_Common_QEndDate,0,COLUMN())&amp;",,,,""PRICE"",""CLOSE"")"),"N/A")</f>
        <v>N/A</v>
      </c>
      <c r="AY560" s="282" t="str">
        <f ca="1">IFERROR(FDS(MO.Ticker.FactSet,"P_PRICE_LOW"&amp;"("&amp;INDEX(MO_SNA_FPStartDate,0,COLUMN())&amp;","&amp;INDEX(MO_Common_QEndDate,0,COLUMN())&amp;",,,,""PRICE"",""CLOSE"")"),"N/A")</f>
        <v>N/A</v>
      </c>
      <c r="AZ560" s="282" t="str">
        <f ca="1">IFERROR(FDS(MO.Ticker.FactSet,"P_PRICE_LOW"&amp;"("&amp;INDEX(MO_SNA_FPStartDate,0,COLUMN())&amp;","&amp;INDEX(MO_Common_QEndDate,0,COLUMN())&amp;",,,,""PRICE"",""CLOSE"")"),"N/A")</f>
        <v>N/A</v>
      </c>
      <c r="BA560" s="282" t="str">
        <f ca="1">IFERROR(FDS(MO.Ticker.FactSet,"P_PRICE_LOW"&amp;"("&amp;INDEX(MO_SNA_FPStartDate,0,COLUMN())&amp;","&amp;INDEX(MO_Common_QEndDate,0,COLUMN())&amp;",,,,""PRICE"",""CLOSE"")"),"N/A")</f>
        <v>N/A</v>
      </c>
      <c r="BB560" s="282" t="str">
        <f ca="1">IFERROR(FDS(MO.Ticker.FactSet,"P_PRICE_LOW"&amp;"("&amp;INDEX(MO_SNA_FPStartDate,0,COLUMN())&amp;","&amp;INDEX(MO_Common_QEndDate,0,COLUMN())&amp;",,,,""PRICE"",""CLOSE"")"),"N/A")</f>
        <v>N/A</v>
      </c>
      <c r="BC560" s="282" t="str">
        <f ca="1">IFERROR(FDS(MO.Ticker.FactSet,"P_PRICE_LOW"&amp;"("&amp;INDEX(MO_SNA_FPStartDate,0,COLUMN())&amp;","&amp;INDEX(MO_Common_QEndDate,0,COLUMN())&amp;",,,,""PRICE"",""CLOSE"")"),"N/A")</f>
        <v>N/A</v>
      </c>
      <c r="BD560" s="282" t="str">
        <f ca="1">IFERROR(FDS(MO.Ticker.FactSet,"P_PRICE_LOW"&amp;"("&amp;INDEX(MO_SNA_FPStartDate,0,COLUMN())&amp;","&amp;INDEX(MO_Common_QEndDate,0,COLUMN())&amp;",,,,""PRICE"",""CLOSE"")"),"N/A")</f>
        <v>N/A</v>
      </c>
      <c r="BE560" s="282" t="str">
        <f ca="1">IFERROR(FDS(MO.Ticker.FactSet,"P_PRICE_LOW"&amp;"("&amp;INDEX(MO_SNA_FPStartDate,0,COLUMN())&amp;","&amp;INDEX(MO_Common_QEndDate,0,COLUMN())&amp;",,,,""PRICE"",""CLOSE"")"),"N/A")</f>
        <v>N/A</v>
      </c>
      <c r="BF560" s="282" t="str">
        <f ca="1">IFERROR(FDS(MO.Ticker.FactSet,"P_PRICE_LOW"&amp;"("&amp;INDEX(MO_SNA_FPStartDate,0,COLUMN())&amp;","&amp;INDEX(MO_Common_QEndDate,0,COLUMN())&amp;",,,,""PRICE"",""CLOSE"")"),"N/A")</f>
        <v>N/A</v>
      </c>
      <c r="BG560" s="282" t="str">
        <f ca="1">IFERROR(FDS(MO.Ticker.FactSet,"P_PRICE_LOW"&amp;"("&amp;INDEX(MO_SNA_FPStartDate,0,COLUMN())&amp;","&amp;INDEX(MO_Common_QEndDate,0,COLUMN())&amp;",,,,""PRICE"",""CLOSE"")"),"N/A")</f>
        <v>N/A</v>
      </c>
      <c r="BH560" s="560" t="str">
        <f ca="1">IFERROR(FDS(MO.Ticker.FactSet,"P_PRICE_LOW"&amp;"("&amp;INDEX(MO_SNA_FPStartDate,0,COLUMN())&amp;","&amp;INDEX(MO_Common_QEndDate,0,COLUMN())&amp;",,,,""PRICE"",""CLOSE"")"),"N/A")</f>
        <v>N/A</v>
      </c>
      <c r="BI560" s="282" t="str">
        <f ca="1">IFERROR(FDS(MO.Ticker.FactSet,"P_PRICE_LOW"&amp;"("&amp;INDEX(MO_SNA_FPStartDate,0,COLUMN())&amp;","&amp;INDEX(MO_Common_QEndDate,0,COLUMN())&amp;",,,,""PRICE"",""CLOSE"")"),"N/A")</f>
        <v>N/A</v>
      </c>
      <c r="BJ560" s="282" t="str">
        <f ca="1">IFERROR(FDS(MO.Ticker.FactSet,"P_PRICE_LOW"&amp;"("&amp;INDEX(MO_SNA_FPStartDate,0,COLUMN())&amp;","&amp;INDEX(MO_Common_QEndDate,0,COLUMN())&amp;",,,,""PRICE"",""CLOSE"")"),"N/A")</f>
        <v>N/A</v>
      </c>
      <c r="BK560" s="282" t="str">
        <f ca="1">IFERROR(FDS(MO.Ticker.FactSet,"P_PRICE_LOW"&amp;"("&amp;INDEX(MO_SNA_FPStartDate,0,COLUMN())&amp;","&amp;INDEX(MO_Common_QEndDate,0,COLUMN())&amp;",,,,""PRICE"",""CLOSE"")"),"N/A")</f>
        <v>N/A</v>
      </c>
      <c r="BL560" s="282" t="str">
        <f ca="1">IFERROR(FDS(MO.Ticker.FactSet,"P_PRICE_LOW"&amp;"("&amp;INDEX(MO_SNA_FPStartDate,0,COLUMN())&amp;","&amp;INDEX(MO_Common_QEndDate,0,COLUMN())&amp;",,,,""PRICE"",""CLOSE"")"),"N/A")</f>
        <v>N/A</v>
      </c>
      <c r="BM560" s="282" t="str">
        <f ca="1">IFERROR(FDS(MO.Ticker.FactSet,"P_PRICE_LOW"&amp;"("&amp;INDEX(MO_SNA_FPStartDate,0,COLUMN())&amp;","&amp;INDEX(MO_Common_QEndDate,0,COLUMN())&amp;",,,,""PRICE"",""CLOSE"")"),"N/A")</f>
        <v>N/A</v>
      </c>
      <c r="BN560" s="282" t="str">
        <f ca="1">IFERROR(FDS(MO.Ticker.FactSet,"P_PRICE_LOW"&amp;"("&amp;INDEX(MO_SNA_FPStartDate,0,COLUMN())&amp;","&amp;INDEX(MO_Common_QEndDate,0,COLUMN())&amp;",,,,""PRICE"",""CLOSE"")"),"N/A")</f>
        <v>N/A</v>
      </c>
      <c r="BO560" s="282" t="str">
        <f ca="1">IFERROR(FDS(MO.Ticker.FactSet,"P_PRICE_LOW"&amp;"("&amp;INDEX(MO_SNA_FPStartDate,0,COLUMN())&amp;","&amp;INDEX(MO_Common_QEndDate,0,COLUMN())&amp;",,,,""PRICE"",""CLOSE"")"),"N/A")</f>
        <v>N/A</v>
      </c>
      <c r="BP560" s="282" t="str">
        <f ca="1">IFERROR(FDS(MO.Ticker.FactSet,"P_PRICE_LOW"&amp;"("&amp;INDEX(MO_SNA_FPStartDate,0,COLUMN())&amp;","&amp;INDEX(MO_Common_QEndDate,0,COLUMN())&amp;",,,,""PRICE"",""CLOSE"")"),"N/A")</f>
        <v>N/A</v>
      </c>
      <c r="BQ560" s="282" t="str">
        <f ca="1">IFERROR(FDS(MO.Ticker.FactSet,"P_PRICE_LOW"&amp;"("&amp;INDEX(MO_SNA_FPStartDate,0,COLUMN())&amp;","&amp;INDEX(MO_Common_QEndDate,0,COLUMN())&amp;",,,,""PRICE"",""CLOSE"")"),"N/A")</f>
        <v>N/A</v>
      </c>
      <c r="BR560" s="284" t="str">
        <f ca="1">IFERROR(FDS(MO.Ticker.FactSet,"P_PRICE_LOW"&amp;"("&amp;INDEX(MO_SNA_FPStartDate,0,COLUMN())&amp;","&amp;INDEX(MO_Common_QEndDate,0,COLUMN())&amp;",,,,""PRICE"",""CLOSE"")"),"N/A")</f>
        <v>N/A</v>
      </c>
      <c r="BS560" s="323"/>
    </row>
    <row r="561" spans="1:71" s="285" customFormat="1" ht="15" hidden="1" outlineLevel="1">
      <c r="A561" s="286" t="s">
        <v>415</v>
      </c>
      <c r="B561" s="282"/>
      <c r="C561" s="283" t="str">
        <f ca="1">IFERROR(_xll.TR(MO.Ticker.Thomson,"Min(TR.PriceLow)","sdate:#1 edate:#2",,INDEX(MO_SNA_FPStartDate,0,COLUMN()),INDEX(MO_Common_QEndDate,0,COLUMN())),"N/A")</f>
        <v>N/A</v>
      </c>
      <c r="D561" s="283" t="str">
        <f ca="1">IFERROR(_xll.TR(MO.Ticker.Thomson,"Min(TR.PriceLow)","sdate:#1 edate:#2",,INDEX(MO_SNA_FPStartDate,0,COLUMN()),INDEX(MO_Common_QEndDate,0,COLUMN())),"N/A")</f>
        <v>N/A</v>
      </c>
      <c r="E561" s="282" t="str">
        <f ca="1">IFERROR(_xll.TR(MO.Ticker.Thomson,"Min(TR.PriceLow)","sdate:#1 edate:#2",,INDEX(MO_SNA_FPStartDate,0,COLUMN()),INDEX(MO_Common_QEndDate,0,COLUMN())),"N/A")</f>
        <v>N/A</v>
      </c>
      <c r="F561" s="282" t="str">
        <f ca="1">IFERROR(_xll.TR(MO.Ticker.Thomson,"Min(TR.PriceLow)","sdate:#1 edate:#2",,INDEX(MO_SNA_FPStartDate,0,COLUMN()),INDEX(MO_Common_QEndDate,0,COLUMN())),"N/A")</f>
        <v>N/A</v>
      </c>
      <c r="G561" s="282" t="str">
        <f ca="1">IFERROR(_xll.TR(MO.Ticker.Thomson,"Min(TR.PriceLow)","sdate:#1 edate:#2",,INDEX(MO_SNA_FPStartDate,0,COLUMN()),INDEX(MO_Common_QEndDate,0,COLUMN())),"N/A")</f>
        <v>N/A</v>
      </c>
      <c r="H561" s="282" t="str">
        <f ca="1">IFERROR(_xll.TR(MO.Ticker.Thomson,"Min(TR.PriceLow)","sdate:#1 edate:#2",,INDEX(MO_SNA_FPStartDate,0,COLUMN()),INDEX(MO_Common_QEndDate,0,COLUMN())),"N/A")</f>
        <v>N/A</v>
      </c>
      <c r="I561" s="282" t="str">
        <f ca="1">IFERROR(_xll.TR(MO.Ticker.Thomson,"Min(TR.PriceLow)","sdate:#1 edate:#2",,INDEX(MO_SNA_FPStartDate,0,COLUMN()),INDEX(MO_Common_QEndDate,0,COLUMN())),"N/A")</f>
        <v>N/A</v>
      </c>
      <c r="J561" s="282" t="str">
        <f ca="1">IFERROR(_xll.TR(MO.Ticker.Thomson,"Min(TR.PriceLow)","sdate:#1 edate:#2",,INDEX(MO_SNA_FPStartDate,0,COLUMN()),INDEX(MO_Common_QEndDate,0,COLUMN())),"N/A")</f>
        <v>N/A</v>
      </c>
      <c r="K561" s="282" t="str">
        <f ca="1">IFERROR(_xll.TR(MO.Ticker.Thomson,"Min(TR.PriceLow)","sdate:#1 edate:#2",,INDEX(MO_SNA_FPStartDate,0,COLUMN()),INDEX(MO_Common_QEndDate,0,COLUMN())),"N/A")</f>
        <v>N/A</v>
      </c>
      <c r="L561" s="282" t="str">
        <f ca="1">IFERROR(_xll.TR(MO.Ticker.Thomson,"Min(TR.PriceLow)","sdate:#1 edate:#2",,INDEX(MO_SNA_FPStartDate,0,COLUMN()),INDEX(MO_Common_QEndDate,0,COLUMN())),"N/A")</f>
        <v>N/A</v>
      </c>
      <c r="M561" s="282" t="str">
        <f ca="1">IFERROR(_xll.TR(MO.Ticker.Thomson,"Min(TR.PriceLow)","sdate:#1 edate:#2",,INDEX(MO_SNA_FPStartDate,0,COLUMN()),INDEX(MO_Common_QEndDate,0,COLUMN())),"N/A")</f>
        <v>N/A</v>
      </c>
      <c r="N561" s="282" t="str">
        <f ca="1">IFERROR(_xll.TR(MO.Ticker.Thomson,"Min(TR.PriceLow)","sdate:#1 edate:#2",,INDEX(MO_SNA_FPStartDate,0,COLUMN()),INDEX(MO_Common_QEndDate,0,COLUMN())),"N/A")</f>
        <v>N/A</v>
      </c>
      <c r="O561" s="282" t="str">
        <f ca="1">IFERROR(_xll.TR(MO.Ticker.Thomson,"Min(TR.PriceLow)","sdate:#1 edate:#2",,INDEX(MO_SNA_FPStartDate,0,COLUMN()),INDEX(MO_Common_QEndDate,0,COLUMN())),"N/A")</f>
        <v>N/A</v>
      </c>
      <c r="P561" s="282" t="str">
        <f ca="1">IFERROR(_xll.TR(MO.Ticker.Thomson,"Min(TR.PriceLow)","sdate:#1 edate:#2",,INDEX(MO_SNA_FPStartDate,0,COLUMN()),INDEX(MO_Common_QEndDate,0,COLUMN())),"N/A")</f>
        <v>N/A</v>
      </c>
      <c r="Q561" s="282" t="str">
        <f ca="1">IFERROR(_xll.TR(MO.Ticker.Thomson,"Min(TR.PriceLow)","sdate:#1 edate:#2",,INDEX(MO_SNA_FPStartDate,0,COLUMN()),INDEX(MO_Common_QEndDate,0,COLUMN())),"N/A")</f>
        <v>N/A</v>
      </c>
      <c r="R561" s="282" t="str">
        <f ca="1">IFERROR(_xll.TR(MO.Ticker.Thomson,"Min(TR.PriceLow)","sdate:#1 edate:#2",,INDEX(MO_SNA_FPStartDate,0,COLUMN()),INDEX(MO_Common_QEndDate,0,COLUMN())),"N/A")</f>
        <v>N/A</v>
      </c>
      <c r="S561" s="282" t="str">
        <f ca="1">IFERROR(_xll.TR(MO.Ticker.Thomson,"Min(TR.PriceLow)","sdate:#1 edate:#2",,INDEX(MO_SNA_FPStartDate,0,COLUMN()),INDEX(MO_Common_QEndDate,0,COLUMN())),"N/A")</f>
        <v>N/A</v>
      </c>
      <c r="T561" s="282" t="str">
        <f ca="1">IFERROR(_xll.TR(MO.Ticker.Thomson,"Min(TR.PriceLow)","sdate:#1 edate:#2",,INDEX(MO_SNA_FPStartDate,0,COLUMN()),INDEX(MO_Common_QEndDate,0,COLUMN())),"N/A")</f>
        <v>N/A</v>
      </c>
      <c r="U561" s="282" t="str">
        <f ca="1">IFERROR(_xll.TR(MO.Ticker.Thomson,"Min(TR.PriceLow)","sdate:#1 edate:#2",,INDEX(MO_SNA_FPStartDate,0,COLUMN()),INDEX(MO_Common_QEndDate,0,COLUMN())),"N/A")</f>
        <v>N/A</v>
      </c>
      <c r="V561" s="282" t="str">
        <f ca="1">IFERROR(_xll.TR(MO.Ticker.Thomson,"Min(TR.PriceLow)","sdate:#1 edate:#2",,INDEX(MO_SNA_FPStartDate,0,COLUMN()),INDEX(MO_Common_QEndDate,0,COLUMN())),"N/A")</f>
        <v>N/A</v>
      </c>
      <c r="W561" s="282" t="str">
        <f ca="1">IFERROR(_xll.TR(MO.Ticker.Thomson,"Min(TR.PriceLow)","sdate:#1 edate:#2",,INDEX(MO_SNA_FPStartDate,0,COLUMN()),INDEX(MO_Common_QEndDate,0,COLUMN())),"N/A")</f>
        <v>N/A</v>
      </c>
      <c r="X561" s="282" t="str">
        <f ca="1">IFERROR(_xll.TR(MO.Ticker.Thomson,"Min(TR.PriceLow)","sdate:#1 edate:#2",,INDEX(MO_SNA_FPStartDate,0,COLUMN()),INDEX(MO_Common_QEndDate,0,COLUMN())),"N/A")</f>
        <v>N/A</v>
      </c>
      <c r="Y561" s="282" t="str">
        <f ca="1">IFERROR(_xll.TR(MO.Ticker.Thomson,"Min(TR.PriceLow)","sdate:#1 edate:#2",,INDEX(MO_SNA_FPStartDate,0,COLUMN()),INDEX(MO_Common_QEndDate,0,COLUMN())),"N/A")</f>
        <v>N/A</v>
      </c>
      <c r="Z561" s="282" t="str">
        <f ca="1">IFERROR(_xll.TR(MO.Ticker.Thomson,"Min(TR.PriceLow)","sdate:#1 edate:#2",,INDEX(MO_SNA_FPStartDate,0,COLUMN()),INDEX(MO_Common_QEndDate,0,COLUMN())),"N/A")</f>
        <v>N/A</v>
      </c>
      <c r="AA561" s="282" t="str">
        <f ca="1">IFERROR(_xll.TR(MO.Ticker.Thomson,"Min(TR.PriceLow)","sdate:#1 edate:#2",,INDEX(MO_SNA_FPStartDate,0,COLUMN()),INDEX(MO_Common_QEndDate,0,COLUMN())),"N/A")</f>
        <v>N/A</v>
      </c>
      <c r="AB561" s="282" t="str">
        <f ca="1">IFERROR(_xll.TR(MO.Ticker.Thomson,"Min(TR.PriceLow)","sdate:#1 edate:#2",,INDEX(MO_SNA_FPStartDate,0,COLUMN()),INDEX(MO_Common_QEndDate,0,COLUMN())),"N/A")</f>
        <v>N/A</v>
      </c>
      <c r="AC561" s="282" t="str">
        <f ca="1">IFERROR(_xll.TR(MO.Ticker.Thomson,"Min(TR.PriceLow)","sdate:#1 edate:#2",,INDEX(MO_SNA_FPStartDate,0,COLUMN()),INDEX(MO_Common_QEndDate,0,COLUMN())),"N/A")</f>
        <v>N/A</v>
      </c>
      <c r="AD561" s="282" t="str">
        <f ca="1">IFERROR(_xll.TR(MO.Ticker.Thomson,"Min(TR.PriceLow)","sdate:#1 edate:#2",,INDEX(MO_SNA_FPStartDate,0,COLUMN()),INDEX(MO_Common_QEndDate,0,COLUMN())),"N/A")</f>
        <v>N/A</v>
      </c>
      <c r="AE561" s="282" t="str">
        <f ca="1">IFERROR(_xll.TR(MO.Ticker.Thomson,"Min(TR.PriceLow)","sdate:#1 edate:#2",,INDEX(MO_SNA_FPStartDate,0,COLUMN()),INDEX(MO_Common_QEndDate,0,COLUMN())),"N/A")</f>
        <v>N/A</v>
      </c>
      <c r="AF561" s="282" t="str">
        <f ca="1">IFERROR(_xll.TR(MO.Ticker.Thomson,"Min(TR.PriceLow)","sdate:#1 edate:#2",,INDEX(MO_SNA_FPStartDate,0,COLUMN()),INDEX(MO_Common_QEndDate,0,COLUMN())),"N/A")</f>
        <v>N/A</v>
      </c>
      <c r="AG561" s="282" t="str">
        <f ca="1">IFERROR(_xll.TR(MO.Ticker.Thomson,"Min(TR.PriceLow)","sdate:#1 edate:#2",,INDEX(MO_SNA_FPStartDate,0,COLUMN()),INDEX(MO_Common_QEndDate,0,COLUMN())),"N/A")</f>
        <v>N/A</v>
      </c>
      <c r="AH561" s="282" t="str">
        <f ca="1">IFERROR(_xll.TR(MO.Ticker.Thomson,"Min(TR.PriceLow)","sdate:#1 edate:#2",,INDEX(MO_SNA_FPStartDate,0,COLUMN()),INDEX(MO_Common_QEndDate,0,COLUMN())),"N/A")</f>
        <v>N/A</v>
      </c>
      <c r="AI561" s="282" t="str">
        <f ca="1">IFERROR(_xll.TR(MO.Ticker.Thomson,"Min(TR.PriceLow)","sdate:#1 edate:#2",,INDEX(MO_SNA_FPStartDate,0,COLUMN()),INDEX(MO_Common_QEndDate,0,COLUMN())),"N/A")</f>
        <v>N/A</v>
      </c>
      <c r="AJ561" s="282" t="str">
        <f ca="1">IFERROR(_xll.TR(MO.Ticker.Thomson,"Min(TR.PriceLow)","sdate:#1 edate:#2",,INDEX(MO_SNA_FPStartDate,0,COLUMN()),INDEX(MO_Common_QEndDate,0,COLUMN())),"N/A")</f>
        <v>N/A</v>
      </c>
      <c r="AK561" s="282" t="str">
        <f ca="1">IFERROR(_xll.TR(MO.Ticker.Thomson,"Min(TR.PriceLow)","sdate:#1 edate:#2",,INDEX(MO_SNA_FPStartDate,0,COLUMN()),INDEX(MO_Common_QEndDate,0,COLUMN())),"N/A")</f>
        <v>N/A</v>
      </c>
      <c r="AL561" s="282" t="str">
        <f ca="1">IFERROR(_xll.TR(MO.Ticker.Thomson,"Min(TR.PriceLow)","sdate:#1 edate:#2",,INDEX(MO_SNA_FPStartDate,0,COLUMN()),INDEX(MO_Common_QEndDate,0,COLUMN())),"N/A")</f>
        <v>N/A</v>
      </c>
      <c r="AM561" s="282" t="str">
        <f ca="1">IFERROR(_xll.TR(MO.Ticker.Thomson,"Min(TR.PriceLow)","sdate:#1 edate:#2",,INDEX(MO_SNA_FPStartDate,0,COLUMN()),INDEX(MO_Common_QEndDate,0,COLUMN())),"N/A")</f>
        <v>N/A</v>
      </c>
      <c r="AN561" s="282" t="str">
        <f ca="1">IFERROR(_xll.TR(MO.Ticker.Thomson,"Min(TR.PriceLow)","sdate:#1 edate:#2",,INDEX(MO_SNA_FPStartDate,0,COLUMN()),INDEX(MO_Common_QEndDate,0,COLUMN())),"N/A")</f>
        <v>N/A</v>
      </c>
      <c r="AO561" s="282" t="str">
        <f ca="1">IFERROR(_xll.TR(MO.Ticker.Thomson,"Min(TR.PriceLow)","sdate:#1 edate:#2",,INDEX(MO_SNA_FPStartDate,0,COLUMN()),INDEX(MO_Common_QEndDate,0,COLUMN())),"N/A")</f>
        <v>N/A</v>
      </c>
      <c r="AP561" s="282" t="str">
        <f ca="1">IFERROR(_xll.TR(MO.Ticker.Thomson,"Min(TR.PriceLow)","sdate:#1 edate:#2",,INDEX(MO_SNA_FPStartDate,0,COLUMN()),INDEX(MO_Common_QEndDate,0,COLUMN())),"N/A")</f>
        <v>N/A</v>
      </c>
      <c r="AQ561" s="282" t="str">
        <f ca="1">IFERROR(_xll.TR(MO.Ticker.Thomson,"Min(TR.PriceLow)","sdate:#1 edate:#2",,INDEX(MO_SNA_FPStartDate,0,COLUMN()),INDEX(MO_Common_QEndDate,0,COLUMN())),"N/A")</f>
        <v>N/A</v>
      </c>
      <c r="AR561" s="282" t="str">
        <f ca="1">IFERROR(_xll.TR(MO.Ticker.Thomson,"Min(TR.PriceLow)","sdate:#1 edate:#2",,INDEX(MO_SNA_FPStartDate,0,COLUMN()),INDEX(MO_Common_QEndDate,0,COLUMN())),"N/A")</f>
        <v>N/A</v>
      </c>
      <c r="AS561" s="282" t="str">
        <f ca="1">IFERROR(_xll.TR(MO.Ticker.Thomson,"Min(TR.PriceLow)","sdate:#1 edate:#2",,INDEX(MO_SNA_FPStartDate,0,COLUMN()),INDEX(MO_Common_QEndDate,0,COLUMN())),"N/A")</f>
        <v>N/A</v>
      </c>
      <c r="AT561" s="282" t="str">
        <f ca="1">IFERROR(_xll.TR(MO.Ticker.Thomson,"Min(TR.PriceLow)","sdate:#1 edate:#2",,INDEX(MO_SNA_FPStartDate,0,COLUMN()),INDEX(MO_Common_QEndDate,0,COLUMN())),"N/A")</f>
        <v>N/A</v>
      </c>
      <c r="AU561" s="282" t="str">
        <f ca="1">IFERROR(_xll.TR(MO.Ticker.Thomson,"Min(TR.PriceLow)","sdate:#1 edate:#2",,INDEX(MO_SNA_FPStartDate,0,COLUMN()),INDEX(MO_Common_QEndDate,0,COLUMN())),"N/A")</f>
        <v>N/A</v>
      </c>
      <c r="AV561" s="282" t="str">
        <f ca="1">IFERROR(_xll.TR(MO.Ticker.Thomson,"Min(TR.PriceLow)","sdate:#1 edate:#2",,INDEX(MO_SNA_FPStartDate,0,COLUMN()),INDEX(MO_Common_QEndDate,0,COLUMN())),"N/A")</f>
        <v>N/A</v>
      </c>
      <c r="AW561" s="282" t="str">
        <f ca="1">IFERROR(_xll.TR(MO.Ticker.Thomson,"Min(TR.PriceLow)","sdate:#1 edate:#2",,INDEX(MO_SNA_FPStartDate,0,COLUMN()),INDEX(MO_Common_QEndDate,0,COLUMN())),"N/A")</f>
        <v>N/A</v>
      </c>
      <c r="AX561" s="282" t="str">
        <f ca="1">IFERROR(_xll.TR(MO.Ticker.Thomson,"Min(TR.PriceLow)","sdate:#1 edate:#2",,INDEX(MO_SNA_FPStartDate,0,COLUMN()),INDEX(MO_Common_QEndDate,0,COLUMN())),"N/A")</f>
        <v>N/A</v>
      </c>
      <c r="AY561" s="282" t="str">
        <f ca="1">IFERROR(_xll.TR(MO.Ticker.Thomson,"Min(TR.PriceLow)","sdate:#1 edate:#2",,INDEX(MO_SNA_FPStartDate,0,COLUMN()),INDEX(MO_Common_QEndDate,0,COLUMN())),"N/A")</f>
        <v>N/A</v>
      </c>
      <c r="AZ561" s="282" t="str">
        <f ca="1">IFERROR(_xll.TR(MO.Ticker.Thomson,"Min(TR.PriceLow)","sdate:#1 edate:#2",,INDEX(MO_SNA_FPStartDate,0,COLUMN()),INDEX(MO_Common_QEndDate,0,COLUMN())),"N/A")</f>
        <v>N/A</v>
      </c>
      <c r="BA561" s="282" t="str">
        <f ca="1">IFERROR(_xll.TR(MO.Ticker.Thomson,"Min(TR.PriceLow)","sdate:#1 edate:#2",,INDEX(MO_SNA_FPStartDate,0,COLUMN()),INDEX(MO_Common_QEndDate,0,COLUMN())),"N/A")</f>
        <v>N/A</v>
      </c>
      <c r="BB561" s="282" t="str">
        <f ca="1">IFERROR(_xll.TR(MO.Ticker.Thomson,"Min(TR.PriceLow)","sdate:#1 edate:#2",,INDEX(MO_SNA_FPStartDate,0,COLUMN()),INDEX(MO_Common_QEndDate,0,COLUMN())),"N/A")</f>
        <v>N/A</v>
      </c>
      <c r="BC561" s="282" t="str">
        <f ca="1">IFERROR(_xll.TR(MO.Ticker.Thomson,"Min(TR.PriceLow)","sdate:#1 edate:#2",,INDEX(MO_SNA_FPStartDate,0,COLUMN()),INDEX(MO_Common_QEndDate,0,COLUMN())),"N/A")</f>
        <v>N/A</v>
      </c>
      <c r="BD561" s="282" t="str">
        <f ca="1">IFERROR(_xll.TR(MO.Ticker.Thomson,"Min(TR.PriceLow)","sdate:#1 edate:#2",,INDEX(MO_SNA_FPStartDate,0,COLUMN()),INDEX(MO_Common_QEndDate,0,COLUMN())),"N/A")</f>
        <v>N/A</v>
      </c>
      <c r="BE561" s="282" t="str">
        <f ca="1">IFERROR(_xll.TR(MO.Ticker.Thomson,"Min(TR.PriceLow)","sdate:#1 edate:#2",,INDEX(MO_SNA_FPStartDate,0,COLUMN()),INDEX(MO_Common_QEndDate,0,COLUMN())),"N/A")</f>
        <v>N/A</v>
      </c>
      <c r="BF561" s="282" t="str">
        <f ca="1">IFERROR(_xll.TR(MO.Ticker.Thomson,"Min(TR.PriceLow)","sdate:#1 edate:#2",,INDEX(MO_SNA_FPStartDate,0,COLUMN()),INDEX(MO_Common_QEndDate,0,COLUMN())),"N/A")</f>
        <v>N/A</v>
      </c>
      <c r="BG561" s="282" t="str">
        <f ca="1">IFERROR(_xll.TR(MO.Ticker.Thomson,"Min(TR.PriceLow)","sdate:#1 edate:#2",,INDEX(MO_SNA_FPStartDate,0,COLUMN()),INDEX(MO_Common_QEndDate,0,COLUMN())),"N/A")</f>
        <v>N/A</v>
      </c>
      <c r="BH561" s="560" t="str">
        <f ca="1">IFERROR(_xll.TR(MO.Ticker.Thomson,"Min(TR.PriceLow)","sdate:#1 edate:#2",,INDEX(MO_SNA_FPStartDate,0,COLUMN()),INDEX(MO_Common_QEndDate,0,COLUMN())),"N/A")</f>
        <v>N/A</v>
      </c>
      <c r="BI561" s="282" t="str">
        <f ca="1">IFERROR(_xll.TR(MO.Ticker.Thomson,"Min(TR.PriceLow)","sdate:#1 edate:#2",,INDEX(MO_SNA_FPStartDate,0,COLUMN()),INDEX(MO_Common_QEndDate,0,COLUMN())),"N/A")</f>
        <v>N/A</v>
      </c>
      <c r="BJ561" s="282" t="str">
        <f ca="1">IFERROR(_xll.TR(MO.Ticker.Thomson,"Min(TR.PriceLow)","sdate:#1 edate:#2",,INDEX(MO_SNA_FPStartDate,0,COLUMN()),INDEX(MO_Common_QEndDate,0,COLUMN())),"N/A")</f>
        <v>N/A</v>
      </c>
      <c r="BK561" s="282" t="str">
        <f ca="1">IFERROR(_xll.TR(MO.Ticker.Thomson,"Min(TR.PriceLow)","sdate:#1 edate:#2",,INDEX(MO_SNA_FPStartDate,0,COLUMN()),INDEX(MO_Common_QEndDate,0,COLUMN())),"N/A")</f>
        <v>N/A</v>
      </c>
      <c r="BL561" s="282" t="str">
        <f ca="1">IFERROR(_xll.TR(MO.Ticker.Thomson,"Min(TR.PriceLow)","sdate:#1 edate:#2",,INDEX(MO_SNA_FPStartDate,0,COLUMN()),INDEX(MO_Common_QEndDate,0,COLUMN())),"N/A")</f>
        <v>N/A</v>
      </c>
      <c r="BM561" s="282" t="str">
        <f ca="1">IFERROR(_xll.TR(MO.Ticker.Thomson,"Min(TR.PriceLow)","sdate:#1 edate:#2",,INDEX(MO_SNA_FPStartDate,0,COLUMN()),INDEX(MO_Common_QEndDate,0,COLUMN())),"N/A")</f>
        <v>N/A</v>
      </c>
      <c r="BN561" s="282" t="str">
        <f ca="1">IFERROR(_xll.TR(MO.Ticker.Thomson,"Min(TR.PriceLow)","sdate:#1 edate:#2",,INDEX(MO_SNA_FPStartDate,0,COLUMN()),INDEX(MO_Common_QEndDate,0,COLUMN())),"N/A")</f>
        <v>N/A</v>
      </c>
      <c r="BO561" s="282" t="str">
        <f ca="1">IFERROR(_xll.TR(MO.Ticker.Thomson,"Min(TR.PriceLow)","sdate:#1 edate:#2",,INDEX(MO_SNA_FPStartDate,0,COLUMN()),INDEX(MO_Common_QEndDate,0,COLUMN())),"N/A")</f>
        <v>N/A</v>
      </c>
      <c r="BP561" s="282" t="str">
        <f ca="1">IFERROR(_xll.TR(MO.Ticker.Thomson,"Min(TR.PriceLow)","sdate:#1 edate:#2",,INDEX(MO_SNA_FPStartDate,0,COLUMN()),INDEX(MO_Common_QEndDate,0,COLUMN())),"N/A")</f>
        <v>N/A</v>
      </c>
      <c r="BQ561" s="282" t="str">
        <f ca="1">IFERROR(_xll.TR(MO.Ticker.Thomson,"Min(TR.PriceLow)","sdate:#1 edate:#2",,INDEX(MO_SNA_FPStartDate,0,COLUMN()),INDEX(MO_Common_QEndDate,0,COLUMN())),"N/A")</f>
        <v>N/A</v>
      </c>
      <c r="BR561" s="284" t="str">
        <f ca="1">IFERROR(_xll.TR(MO.Ticker.Thomson,"Min(TR.PriceLow)","sdate:#1 edate:#2",,INDEX(MO_SNA_FPStartDate,0,COLUMN()),INDEX(MO_Common_QEndDate,0,COLUMN())),"N/A")</f>
        <v>N/A</v>
      </c>
      <c r="BS561" s="323"/>
    </row>
    <row r="562" spans="1:71" ht="15" hidden="1" outlineLevel="1">
      <c r="A562" s="221"/>
      <c r="B562" s="814"/>
      <c r="C562" s="274"/>
      <c r="D562" s="274"/>
      <c r="E562" s="814"/>
      <c r="F562" s="814"/>
      <c r="G562" s="814"/>
      <c r="H562" s="814"/>
      <c r="I562" s="814"/>
      <c r="J562" s="814"/>
      <c r="K562" s="814"/>
      <c r="L562" s="814"/>
      <c r="M562" s="814"/>
      <c r="N562" s="814"/>
      <c r="O562" s="814"/>
      <c r="P562" s="245"/>
      <c r="Q562" s="814"/>
      <c r="R562" s="814"/>
      <c r="S562" s="814"/>
      <c r="T562" s="814"/>
      <c r="U562" s="814"/>
      <c r="V562" s="814"/>
      <c r="W562" s="814"/>
      <c r="X562" s="814"/>
      <c r="Y562" s="814"/>
      <c r="Z562" s="814"/>
      <c r="AA562" s="814"/>
      <c r="AB562" s="814"/>
      <c r="AC562" s="814"/>
      <c r="AD562" s="814"/>
      <c r="AE562" s="814"/>
      <c r="AF562" s="814"/>
      <c r="AG562" s="814"/>
      <c r="AH562" s="814"/>
      <c r="AI562" s="814"/>
      <c r="AJ562" s="814"/>
      <c r="AK562" s="814"/>
      <c r="AL562" s="814"/>
      <c r="AM562" s="814"/>
      <c r="AN562" s="814"/>
      <c r="AO562" s="814"/>
      <c r="AP562" s="814"/>
      <c r="AQ562" s="814"/>
      <c r="AR562" s="814"/>
      <c r="AS562" s="814"/>
      <c r="AT562" s="814"/>
      <c r="AU562" s="814"/>
      <c r="AV562" s="814"/>
      <c r="AW562" s="814"/>
      <c r="AX562" s="814"/>
      <c r="AY562" s="814"/>
      <c r="AZ562" s="814"/>
      <c r="BA562" s="814"/>
      <c r="BB562" s="814"/>
      <c r="BC562" s="814"/>
      <c r="BD562" s="814"/>
      <c r="BE562" s="814"/>
      <c r="BF562" s="814"/>
      <c r="BG562" s="814"/>
      <c r="BH562" s="815"/>
      <c r="BI562" s="814"/>
      <c r="BJ562" s="814"/>
      <c r="BK562" s="814"/>
      <c r="BL562" s="814"/>
      <c r="BM562" s="814"/>
      <c r="BN562" s="814"/>
      <c r="BO562" s="814"/>
      <c r="BP562" s="814"/>
      <c r="BQ562" s="814"/>
      <c r="BR562" s="220"/>
      <c r="BS562" s="318"/>
    </row>
    <row r="563" spans="1:71" s="285" customFormat="1" ht="15" collapsed="1">
      <c r="A563" s="281" t="str">
        <f ca="1">"Stock Average: "&amp;IF(OR(MO.RealTimeStockPriceToggle=FALSE,VLOOKUP(MO.DataSourceName,MO_SPT_StockAverage_Sources,COLUMN()+2,FALSE)="N/A"),"Real-Time Off Source",MO.DataSourceName)</f>
        <v>Stock Average: Real-Time Off Source</v>
      </c>
      <c r="B563" s="282"/>
      <c r="C563" s="283">
        <f ca="1" t="shared" si="1200" ref="C563:AQ563">IF(OR(MO.RealTimeStockPriceToggle=FALSE,VLOOKUP(MO.DataSourceName,MO_SPT_StockAverage_Sources,COLUMN(),FALSE)="N/A"),VLOOKUP("Real-Time Off Source",MO_SPT_StockAverage_Sources,COLUMN(),FALSE),VLOOKUP(MO.DataSourceName,MO_SPT_StockAverage_Sources,COLUMN(),FALSE))</f>
        <v>14.645</v>
      </c>
      <c r="D563" s="283">
        <f t="shared" ca="1" si="1200"/>
        <v>24.555</v>
      </c>
      <c r="E563" s="282">
        <f t="shared" ca="1" si="1200"/>
        <v>22.6975</v>
      </c>
      <c r="F563" s="282">
        <f t="shared" ca="1" si="1200"/>
        <v>23.2675</v>
      </c>
      <c r="G563" s="282">
        <f t="shared" ca="1" si="1200"/>
        <v>28.9475</v>
      </c>
      <c r="H563" s="282">
        <f t="shared" ca="1" si="1200"/>
        <v>31.785</v>
      </c>
      <c r="I563" s="282">
        <f t="shared" ca="1" si="1200"/>
        <v>31.2675</v>
      </c>
      <c r="J563" s="282">
        <f t="shared" ca="1" si="1200"/>
        <v>30.475</v>
      </c>
      <c r="K563" s="282">
        <f t="shared" ca="1" si="1200"/>
        <v>29.3625</v>
      </c>
      <c r="L563" s="282">
        <f t="shared" ca="1" si="1200"/>
        <v>30.7225</v>
      </c>
      <c r="M563" s="282">
        <f t="shared" ca="1" si="1200"/>
        <v>30.2575</v>
      </c>
      <c r="N563" s="282">
        <f t="shared" ca="1" si="1200"/>
        <v>31.605</v>
      </c>
      <c r="O563" s="282">
        <f t="shared" ca="1" si="1200"/>
        <v>29.10</v>
      </c>
      <c r="P563" s="282">
        <f t="shared" ca="1" si="1200"/>
        <v>30.8275</v>
      </c>
      <c r="Q563" s="282">
        <f t="shared" ca="1" si="1200"/>
        <v>30.4475</v>
      </c>
      <c r="R563" s="282">
        <f t="shared" ca="1" si="1200"/>
        <v>29.725</v>
      </c>
      <c r="S563" s="282">
        <f t="shared" ca="1" si="1200"/>
        <v>33.69</v>
      </c>
      <c r="T563" s="282">
        <f t="shared" ca="1" si="1200"/>
        <v>36.380000000000003</v>
      </c>
      <c r="U563" s="282">
        <f t="shared" ca="1" si="1200"/>
        <v>35.362499999999997</v>
      </c>
      <c r="V563" s="282">
        <f t="shared" ca="1" si="1200"/>
        <v>33.789375</v>
      </c>
      <c r="W563" s="282">
        <f t="shared" ca="1" si="1200"/>
        <v>34.957500000000003</v>
      </c>
      <c r="X563" s="282">
        <f t="shared" ca="1" si="1200"/>
        <v>37.985</v>
      </c>
      <c r="Y563" s="282">
        <f t="shared" ca="1" si="1200"/>
        <v>40.2825</v>
      </c>
      <c r="Z563" s="282">
        <f t="shared" ca="1" si="1200"/>
        <v>42.805</v>
      </c>
      <c r="AA563" s="282">
        <f t="shared" ca="1" si="1200"/>
        <v>39.0075</v>
      </c>
      <c r="AB563" s="282">
        <f t="shared" ca="1" si="1200"/>
        <v>43.435257377049197</v>
      </c>
      <c r="AC563" s="282">
        <f t="shared" ca="1" si="1200"/>
        <v>44.271635937500001</v>
      </c>
      <c r="AD563" s="282">
        <f t="shared" ca="1" si="1200"/>
        <v>45.363719047619099</v>
      </c>
      <c r="AE563" s="282">
        <f t="shared" ca="1" si="1200"/>
        <v>44.3100809523809</v>
      </c>
      <c r="AF563" s="282">
        <f t="shared" ca="1" si="1200"/>
        <v>44.352130677290802</v>
      </c>
      <c r="AG563" s="282">
        <f t="shared" ca="1" si="1200"/>
        <v>48.053490163934399</v>
      </c>
      <c r="AH563" s="282">
        <f t="shared" ca="1" si="1200"/>
        <v>51.554920634920599</v>
      </c>
      <c r="AI563" s="282">
        <f t="shared" ca="1" si="1200"/>
        <v>52.7978125</v>
      </c>
      <c r="AJ563" s="282">
        <f t="shared" ca="1" si="1200"/>
        <v>53.0784375</v>
      </c>
      <c r="AK563" s="282">
        <f t="shared" ca="1" si="1200"/>
        <v>51.442738095238099</v>
      </c>
      <c r="AL563" s="282">
        <f t="shared" ca="1" si="1200"/>
        <v>45.702580645161298</v>
      </c>
      <c r="AM563" s="282">
        <f t="shared" ca="1" si="1200"/>
        <v>36.1260317460317</v>
      </c>
      <c r="AN563" s="282">
        <f t="shared" ca="1" si="1200"/>
        <v>36.415625</v>
      </c>
      <c r="AO563" s="282">
        <f t="shared" ca="1" si="1200"/>
        <v>40.9378125</v>
      </c>
      <c r="AP563" s="282">
        <f t="shared" ca="1" si="1200"/>
        <v>39.7633201581028</v>
      </c>
      <c r="AQ563" s="282">
        <f t="shared" ca="1" si="1200"/>
        <v>47.98</v>
      </c>
      <c r="AR563" s="282">
        <f ca="1" t="shared" si="1201" ref="AR563:AW563">IF(OR(MO.RealTimeStockPriceToggle=FALSE,VLOOKUP(MO.DataSourceName,MO_SPT_StockAverage_Sources,COLUMN(),FALSE)="N/A"),VLOOKUP("Real-Time Off Source",MO_SPT_StockAverage_Sources,COLUMN(),FALSE),VLOOKUP(MO.DataSourceName,MO_SPT_StockAverage_Sources,COLUMN(),FALSE))</f>
        <v>54.527301587301601</v>
      </c>
      <c r="AS563" s="282">
        <f t="shared" ca="1" si="1201"/>
        <v>54.66890625</v>
      </c>
      <c r="AT563" s="282">
        <f t="shared" ca="1" si="1201"/>
        <v>56.03921875</v>
      </c>
      <c r="AU563" s="282">
        <f t="shared" ca="1" si="1201"/>
        <v>53.362380952381002</v>
      </c>
      <c r="AV563" s="282">
        <f t="shared" ca="1" si="1201"/>
        <v>62.607580645161299</v>
      </c>
      <c r="AW563" s="282">
        <f t="shared" ca="1" si="1201"/>
        <v>59.0238709677419</v>
      </c>
      <c r="AX563" s="282">
        <f ca="1" t="shared" si="1202" ref="AX563:BJ563">IF(OR(MO.RealTimeStockPriceToggle=FALSE,VLOOKUP(MO.DataSourceName,MO_SPT_StockAverage_Sources,COLUMN(),FALSE)="N/A"),VLOOKUP("Real-Time Off Source",MO_SPT_StockAverage_Sources,COLUMN(),FALSE),VLOOKUP(MO.DataSourceName,MO_SPT_StockAverage_Sources,COLUMN(),FALSE))</f>
        <v>58.8490625</v>
      </c>
      <c r="AY563" s="282">
        <f t="shared" ca="1" si="1202"/>
        <v>66.950634920634897</v>
      </c>
      <c r="AZ563" s="282">
        <f t="shared" ca="1" si="1202"/>
        <v>61.854103585657398</v>
      </c>
      <c r="BA563" s="282">
        <f ca="1" t="shared" si="1203" ref="BA563:BI563">IF(OR(MO.RealTimeStockPriceToggle=FALSE,VLOOKUP(MO.DataSourceName,MO_SPT_StockAverage_Sources,COLUMN(),FALSE)="N/A"),VLOOKUP("Real-Time Off Source",MO_SPT_StockAverage_Sources,COLUMN(),FALSE),VLOOKUP(MO.DataSourceName,MO_SPT_StockAverage_Sources,COLUMN(),FALSE))</f>
        <v>68.456612903225803</v>
      </c>
      <c r="BB563" s="282">
        <f t="shared" ca="1" si="1203"/>
        <v>66.929354838709699</v>
      </c>
      <c r="BC563" s="282">
        <f t="shared" ca="1" si="1203"/>
        <v>74.2339682539682</v>
      </c>
      <c r="BD563" s="282">
        <f t="shared" ca="1" si="1203"/>
        <v>80.5833333333333</v>
      </c>
      <c r="BE563" s="282">
        <f t="shared" ca="1" si="1203"/>
        <v>72.589679999999902</v>
      </c>
      <c r="BF563" s="282">
        <f ca="1">IF(OR(MO.RealTimeStockPriceToggle=FALSE,VLOOKUP(MO.DataSourceName,MO_SPT_StockAverage_Sources,COLUMN(),FALSE)="N/A"),VLOOKUP("Real-Time Off Source",MO_SPT_StockAverage_Sources,COLUMN(),FALSE),VLOOKUP(MO.DataSourceName,MO_SPT_StockAverage_Sources,COLUMN(),FALSE))</f>
        <v>81.979508196721298</v>
      </c>
      <c r="BG563" s="282">
        <f ca="1">IF(OR(MO.RealTimeStockPriceToggle=FALSE,VLOOKUP(MO.DataSourceName,MO_SPT_StockAverage_Sources,COLUMN(),FALSE)="N/A"),VLOOKUP("Real-Time Off Source",MO_SPT_StockAverage_Sources,COLUMN(),FALSE),VLOOKUP(MO.DataSourceName,MO_SPT_StockAverage_Sources,COLUMN(),FALSE))</f>
        <v>85.973809523809607</v>
      </c>
      <c r="BH563" s="560">
        <f ca="1">IF(OR(MO.RealTimeStockPriceToggle=FALSE,VLOOKUP(MO.DataSourceName,MO_SPT_StockAverage_Sources,COLUMN(),FALSE)="N/A"),VLOOKUP("Real-Time Off Source",MO_SPT_StockAverage_Sources,COLUMN(),FALSE),VLOOKUP(MO.DataSourceName,MO_SPT_StockAverage_Sources,COLUMN(),FALSE))</f>
        <v>101.62984375000001</v>
      </c>
      <c r="BI563" s="282">
        <f t="shared" ca="1" si="1203"/>
        <v>0</v>
      </c>
      <c r="BJ563" s="282">
        <f t="shared" ca="1" si="1202"/>
        <v>0</v>
      </c>
      <c r="BK563" s="282">
        <f ca="1" t="shared" si="1204" ref="BK563:BR563">IF(OR(MO.RealTimeStockPriceToggle=FALSE,VLOOKUP(MO.DataSourceName,MO_SPT_StockAverage_Sources,COLUMN(),FALSE)="N/A"),VLOOKUP("Real-Time Off Source",MO_SPT_StockAverage_Sources,COLUMN(),FALSE),VLOOKUP(MO.DataSourceName,MO_SPT_StockAverage_Sources,COLUMN(),FALSE))</f>
        <v>0</v>
      </c>
      <c r="BL563" s="282">
        <f t="shared" ca="1" si="1204"/>
        <v>0</v>
      </c>
      <c r="BM563" s="282">
        <f t="shared" ca="1" si="1204"/>
        <v>0</v>
      </c>
      <c r="BN563" s="282">
        <f t="shared" ca="1" si="1204"/>
        <v>0</v>
      </c>
      <c r="BO563" s="282">
        <f t="shared" ca="1" si="1204"/>
        <v>0</v>
      </c>
      <c r="BP563" s="282">
        <f t="shared" ca="1" si="1204"/>
        <v>0</v>
      </c>
      <c r="BQ563" s="282">
        <f t="shared" ca="1" si="1204"/>
        <v>0</v>
      </c>
      <c r="BR563" s="284">
        <f t="shared" ca="1" si="1204"/>
        <v>0</v>
      </c>
      <c r="BS563" s="323"/>
    </row>
    <row r="564" spans="1:71" s="285" customFormat="1" ht="15" hidden="1" outlineLevel="1">
      <c r="A564" s="286" t="s">
        <v>211</v>
      </c>
      <c r="B564" s="282"/>
      <c r="C564" s="949">
        <v>14.645</v>
      </c>
      <c r="D564" s="949">
        <v>24.555</v>
      </c>
      <c r="E564" s="950">
        <v>22.6975</v>
      </c>
      <c r="F564" s="950">
        <v>23.2675</v>
      </c>
      <c r="G564" s="950">
        <v>28.9475</v>
      </c>
      <c r="H564" s="950">
        <v>31.785</v>
      </c>
      <c r="I564" s="950">
        <v>31.2675</v>
      </c>
      <c r="J564" s="950">
        <v>30.475</v>
      </c>
      <c r="K564" s="950">
        <v>29.3625</v>
      </c>
      <c r="L564" s="950">
        <v>30.7225</v>
      </c>
      <c r="M564" s="950">
        <v>30.2575</v>
      </c>
      <c r="N564" s="950">
        <v>31.605</v>
      </c>
      <c r="O564" s="950">
        <v>29.10</v>
      </c>
      <c r="P564" s="950">
        <v>30.8275</v>
      </c>
      <c r="Q564" s="950">
        <v>30.4475</v>
      </c>
      <c r="R564" s="950">
        <v>29.725</v>
      </c>
      <c r="S564" s="950">
        <v>33.69</v>
      </c>
      <c r="T564" s="950">
        <v>36.380000000000003</v>
      </c>
      <c r="U564" s="950">
        <v>35.362499999999997</v>
      </c>
      <c r="V564" s="950">
        <v>33.789375</v>
      </c>
      <c r="W564" s="950">
        <v>34.957500000000003</v>
      </c>
      <c r="X564" s="950">
        <v>37.985</v>
      </c>
      <c r="Y564" s="950">
        <v>40.2825</v>
      </c>
      <c r="Z564" s="950">
        <v>42.805</v>
      </c>
      <c r="AA564" s="950">
        <v>39.0075</v>
      </c>
      <c r="AB564" s="950">
        <v>43.435257377049197</v>
      </c>
      <c r="AC564" s="950">
        <v>44.271635937500001</v>
      </c>
      <c r="AD564" s="950">
        <v>45.363719047619099</v>
      </c>
      <c r="AE564" s="950">
        <v>44.3100809523809</v>
      </c>
      <c r="AF564" s="950">
        <v>44.352130677290802</v>
      </c>
      <c r="AG564" s="950">
        <v>48.053490163934399</v>
      </c>
      <c r="AH564" s="950">
        <v>51.554920634920599</v>
      </c>
      <c r="AI564" s="950">
        <v>52.7978125</v>
      </c>
      <c r="AJ564" s="950">
        <v>53.0784375</v>
      </c>
      <c r="AK564" s="950">
        <v>51.442738095238099</v>
      </c>
      <c r="AL564" s="950">
        <v>45.702580645161298</v>
      </c>
      <c r="AM564" s="950">
        <v>36.1260317460317</v>
      </c>
      <c r="AN564" s="950">
        <v>36.415625</v>
      </c>
      <c r="AO564" s="950">
        <v>40.9378125</v>
      </c>
      <c r="AP564" s="950">
        <v>39.7633201581028</v>
      </c>
      <c r="AQ564" s="950">
        <v>47.98</v>
      </c>
      <c r="AR564" s="950">
        <v>54.527301587301601</v>
      </c>
      <c r="AS564" s="950">
        <v>54.66890625</v>
      </c>
      <c r="AT564" s="950">
        <v>56.03921875</v>
      </c>
      <c r="AU564" s="950">
        <v>53.362380952381002</v>
      </c>
      <c r="AV564" s="950">
        <v>62.607580645161299</v>
      </c>
      <c r="AW564" s="950">
        <v>59.0238709677419</v>
      </c>
      <c r="AX564" s="950">
        <v>58.8490625</v>
      </c>
      <c r="AY564" s="950">
        <v>66.950634920634897</v>
      </c>
      <c r="AZ564" s="950">
        <v>61.854103585657398</v>
      </c>
      <c r="BA564" s="950">
        <v>68.456612903225803</v>
      </c>
      <c r="BB564" s="950">
        <v>66.929354838709699</v>
      </c>
      <c r="BC564" s="950">
        <v>74.2339682539682</v>
      </c>
      <c r="BD564" s="950">
        <v>80.5833333333333</v>
      </c>
      <c r="BE564" s="950">
        <v>72.589679999999902</v>
      </c>
      <c r="BF564" s="950">
        <v>81.979508196721298</v>
      </c>
      <c r="BG564" s="950">
        <v>85.973809523809607</v>
      </c>
      <c r="BH564" s="951">
        <v>101.62984375000001</v>
      </c>
      <c r="BI564" s="282"/>
      <c r="BJ564" s="282"/>
      <c r="BK564" s="282"/>
      <c r="BL564" s="282"/>
      <c r="BM564" s="282"/>
      <c r="BN564" s="282"/>
      <c r="BO564" s="282"/>
      <c r="BP564" s="282"/>
      <c r="BQ564" s="282"/>
      <c r="BR564" s="284"/>
      <c r="BS564" s="323"/>
    </row>
    <row r="565" spans="1:71" s="285" customFormat="1" ht="15" hidden="1" outlineLevel="1">
      <c r="A565" s="286" t="s">
        <v>7</v>
      </c>
      <c r="B565" s="282"/>
      <c r="C565" s="283" t="str">
        <f ca="1">IFERROR(BDP(MO.Ticker.Bloomberg&amp;" Equity","INTERVAL_AVG","MARKET_DATA_OVERRIDE=PX_LAST","START_DATE_OVERRIDE",TEXT(INDEX(MO_SNA_FPStartDate,0,COLUMN()),"YYYYMMDD"),"END_DATE_OVERRIDE",TEXT(INDEX(MO_Common_QEndDate,0,COLUMN()),"YYYYMMDD")),"N/A")</f>
        <v>N/A</v>
      </c>
      <c r="D565" s="283" t="str">
        <f ca="1">IFERROR(BDP(MO.Ticker.Bloomberg&amp;" Equity","INTERVAL_AVG","MARKET_DATA_OVERRIDE=PX_LAST","START_DATE_OVERRIDE",TEXT(INDEX(MO_SNA_FPStartDate,0,COLUMN()),"YYYYMMDD"),"END_DATE_OVERRIDE",TEXT(INDEX(MO_Common_QEndDate,0,COLUMN()),"YYYYMMDD")),"N/A")</f>
        <v>N/A</v>
      </c>
      <c r="E565" s="282" t="str">
        <f ca="1">IFERROR(BDP(MO.Ticker.Bloomberg&amp;" Equity","INTERVAL_AVG","MARKET_DATA_OVERRIDE=PX_LAST","START_DATE_OVERRIDE",TEXT(INDEX(MO_SNA_FPStartDate,0,COLUMN()),"YYYYMMDD"),"END_DATE_OVERRIDE",TEXT(INDEX(MO_Common_QEndDate,0,COLUMN()),"YYYYMMDD")),"N/A")</f>
        <v>N/A</v>
      </c>
      <c r="F565" s="282" t="str">
        <f ca="1">IFERROR(BDP(MO.Ticker.Bloomberg&amp;" Equity","INTERVAL_AVG","MARKET_DATA_OVERRIDE=PX_LAST","START_DATE_OVERRIDE",TEXT(INDEX(MO_SNA_FPStartDate,0,COLUMN()),"YYYYMMDD"),"END_DATE_OVERRIDE",TEXT(INDEX(MO_Common_QEndDate,0,COLUMN()),"YYYYMMDD")),"N/A")</f>
        <v>N/A</v>
      </c>
      <c r="G565" s="282" t="str">
        <f ca="1">IFERROR(BDP(MO.Ticker.Bloomberg&amp;" Equity","INTERVAL_AVG","MARKET_DATA_OVERRIDE=PX_LAST","START_DATE_OVERRIDE",TEXT(INDEX(MO_SNA_FPStartDate,0,COLUMN()),"YYYYMMDD"),"END_DATE_OVERRIDE",TEXT(INDEX(MO_Common_QEndDate,0,COLUMN()),"YYYYMMDD")),"N/A")</f>
        <v>N/A</v>
      </c>
      <c r="H565" s="282" t="str">
        <f ca="1">IFERROR(BDP(MO.Ticker.Bloomberg&amp;" Equity","INTERVAL_AVG","MARKET_DATA_OVERRIDE=PX_LAST","START_DATE_OVERRIDE",TEXT(INDEX(MO_SNA_FPStartDate,0,COLUMN()),"YYYYMMDD"),"END_DATE_OVERRIDE",TEXT(INDEX(MO_Common_QEndDate,0,COLUMN()),"YYYYMMDD")),"N/A")</f>
        <v>N/A</v>
      </c>
      <c r="I565" s="282" t="str">
        <f ca="1">IFERROR(BDP(MO.Ticker.Bloomberg&amp;" Equity","INTERVAL_AVG","MARKET_DATA_OVERRIDE=PX_LAST","START_DATE_OVERRIDE",TEXT(INDEX(MO_SNA_FPStartDate,0,COLUMN()),"YYYYMMDD"),"END_DATE_OVERRIDE",TEXT(INDEX(MO_Common_QEndDate,0,COLUMN()),"YYYYMMDD")),"N/A")</f>
        <v>N/A</v>
      </c>
      <c r="J565" s="282" t="str">
        <f ca="1">IFERROR(BDP(MO.Ticker.Bloomberg&amp;" Equity","INTERVAL_AVG","MARKET_DATA_OVERRIDE=PX_LAST","START_DATE_OVERRIDE",TEXT(INDEX(MO_SNA_FPStartDate,0,COLUMN()),"YYYYMMDD"),"END_DATE_OVERRIDE",TEXT(INDEX(MO_Common_QEndDate,0,COLUMN()),"YYYYMMDD")),"N/A")</f>
        <v>N/A</v>
      </c>
      <c r="K565" s="282" t="str">
        <f ca="1">IFERROR(BDP(MO.Ticker.Bloomberg&amp;" Equity","INTERVAL_AVG","MARKET_DATA_OVERRIDE=PX_LAST","START_DATE_OVERRIDE",TEXT(INDEX(MO_SNA_FPStartDate,0,COLUMN()),"YYYYMMDD"),"END_DATE_OVERRIDE",TEXT(INDEX(MO_Common_QEndDate,0,COLUMN()),"YYYYMMDD")),"N/A")</f>
        <v>N/A</v>
      </c>
      <c r="L565" s="282" t="str">
        <f ca="1">IFERROR(BDP(MO.Ticker.Bloomberg&amp;" Equity","INTERVAL_AVG","MARKET_DATA_OVERRIDE=PX_LAST","START_DATE_OVERRIDE",TEXT(INDEX(MO_SNA_FPStartDate,0,COLUMN()),"YYYYMMDD"),"END_DATE_OVERRIDE",TEXT(INDEX(MO_Common_QEndDate,0,COLUMN()),"YYYYMMDD")),"N/A")</f>
        <v>N/A</v>
      </c>
      <c r="M565" s="282" t="str">
        <f ca="1">IFERROR(BDP(MO.Ticker.Bloomberg&amp;" Equity","INTERVAL_AVG","MARKET_DATA_OVERRIDE=PX_LAST","START_DATE_OVERRIDE",TEXT(INDEX(MO_SNA_FPStartDate,0,COLUMN()),"YYYYMMDD"),"END_DATE_OVERRIDE",TEXT(INDEX(MO_Common_QEndDate,0,COLUMN()),"YYYYMMDD")),"N/A")</f>
        <v>N/A</v>
      </c>
      <c r="N565" s="282" t="str">
        <f ca="1">IFERROR(BDP(MO.Ticker.Bloomberg&amp;" Equity","INTERVAL_AVG","MARKET_DATA_OVERRIDE=PX_LAST","START_DATE_OVERRIDE",TEXT(INDEX(MO_SNA_FPStartDate,0,COLUMN()),"YYYYMMDD"),"END_DATE_OVERRIDE",TEXT(INDEX(MO_Common_QEndDate,0,COLUMN()),"YYYYMMDD")),"N/A")</f>
        <v>N/A</v>
      </c>
      <c r="O565" s="282" t="str">
        <f ca="1">IFERROR(BDP(MO.Ticker.Bloomberg&amp;" Equity","INTERVAL_AVG","MARKET_DATA_OVERRIDE=PX_LAST","START_DATE_OVERRIDE",TEXT(INDEX(MO_SNA_FPStartDate,0,COLUMN()),"YYYYMMDD"),"END_DATE_OVERRIDE",TEXT(INDEX(MO_Common_QEndDate,0,COLUMN()),"YYYYMMDD")),"N/A")</f>
        <v>N/A</v>
      </c>
      <c r="P565" s="282" t="str">
        <f ca="1">IFERROR(BDP(MO.Ticker.Bloomberg&amp;" Equity","INTERVAL_AVG","MARKET_DATA_OVERRIDE=PX_LAST","START_DATE_OVERRIDE",TEXT(INDEX(MO_SNA_FPStartDate,0,COLUMN()),"YYYYMMDD"),"END_DATE_OVERRIDE",TEXT(INDEX(MO_Common_QEndDate,0,COLUMN()),"YYYYMMDD")),"N/A")</f>
        <v>N/A</v>
      </c>
      <c r="Q565" s="282" t="str">
        <f ca="1">IFERROR(BDP(MO.Ticker.Bloomberg&amp;" Equity","INTERVAL_AVG","MARKET_DATA_OVERRIDE=PX_LAST","START_DATE_OVERRIDE",TEXT(INDEX(MO_SNA_FPStartDate,0,COLUMN()),"YYYYMMDD"),"END_DATE_OVERRIDE",TEXT(INDEX(MO_Common_QEndDate,0,COLUMN()),"YYYYMMDD")),"N/A")</f>
        <v>N/A</v>
      </c>
      <c r="R565" s="282" t="str">
        <f ca="1">IFERROR(BDP(MO.Ticker.Bloomberg&amp;" Equity","INTERVAL_AVG","MARKET_DATA_OVERRIDE=PX_LAST","START_DATE_OVERRIDE",TEXT(INDEX(MO_SNA_FPStartDate,0,COLUMN()),"YYYYMMDD"),"END_DATE_OVERRIDE",TEXT(INDEX(MO_Common_QEndDate,0,COLUMN()),"YYYYMMDD")),"N/A")</f>
        <v>N/A</v>
      </c>
      <c r="S565" s="282" t="str">
        <f ca="1">IFERROR(BDP(MO.Ticker.Bloomberg&amp;" Equity","INTERVAL_AVG","MARKET_DATA_OVERRIDE=PX_LAST","START_DATE_OVERRIDE",TEXT(INDEX(MO_SNA_FPStartDate,0,COLUMN()),"YYYYMMDD"),"END_DATE_OVERRIDE",TEXT(INDEX(MO_Common_QEndDate,0,COLUMN()),"YYYYMMDD")),"N/A")</f>
        <v>N/A</v>
      </c>
      <c r="T565" s="282" t="str">
        <f ca="1">IFERROR(BDP(MO.Ticker.Bloomberg&amp;" Equity","INTERVAL_AVG","MARKET_DATA_OVERRIDE=PX_LAST","START_DATE_OVERRIDE",TEXT(INDEX(MO_SNA_FPStartDate,0,COLUMN()),"YYYYMMDD"),"END_DATE_OVERRIDE",TEXT(INDEX(MO_Common_QEndDate,0,COLUMN()),"YYYYMMDD")),"N/A")</f>
        <v>N/A</v>
      </c>
      <c r="U565" s="282" t="str">
        <f ca="1">IFERROR(BDP(MO.Ticker.Bloomberg&amp;" Equity","INTERVAL_AVG","MARKET_DATA_OVERRIDE=PX_LAST","START_DATE_OVERRIDE",TEXT(INDEX(MO_SNA_FPStartDate,0,COLUMN()),"YYYYMMDD"),"END_DATE_OVERRIDE",TEXT(INDEX(MO_Common_QEndDate,0,COLUMN()),"YYYYMMDD")),"N/A")</f>
        <v>N/A</v>
      </c>
      <c r="V565" s="282" t="str">
        <f ca="1">IFERROR(BDP(MO.Ticker.Bloomberg&amp;" Equity","INTERVAL_AVG","MARKET_DATA_OVERRIDE=PX_LAST","START_DATE_OVERRIDE",TEXT(INDEX(MO_SNA_FPStartDate,0,COLUMN()),"YYYYMMDD"),"END_DATE_OVERRIDE",TEXT(INDEX(MO_Common_QEndDate,0,COLUMN()),"YYYYMMDD")),"N/A")</f>
        <v>N/A</v>
      </c>
      <c r="W565" s="282" t="str">
        <f ca="1">IFERROR(BDP(MO.Ticker.Bloomberg&amp;" Equity","INTERVAL_AVG","MARKET_DATA_OVERRIDE=PX_LAST","START_DATE_OVERRIDE",TEXT(INDEX(MO_SNA_FPStartDate,0,COLUMN()),"YYYYMMDD"),"END_DATE_OVERRIDE",TEXT(INDEX(MO_Common_QEndDate,0,COLUMN()),"YYYYMMDD")),"N/A")</f>
        <v>N/A</v>
      </c>
      <c r="X565" s="282" t="str">
        <f ca="1">IFERROR(BDP(MO.Ticker.Bloomberg&amp;" Equity","INTERVAL_AVG","MARKET_DATA_OVERRIDE=PX_LAST","START_DATE_OVERRIDE",TEXT(INDEX(MO_SNA_FPStartDate,0,COLUMN()),"YYYYMMDD"),"END_DATE_OVERRIDE",TEXT(INDEX(MO_Common_QEndDate,0,COLUMN()),"YYYYMMDD")),"N/A")</f>
        <v>N/A</v>
      </c>
      <c r="Y565" s="282" t="str">
        <f ca="1">IFERROR(BDP(MO.Ticker.Bloomberg&amp;" Equity","INTERVAL_AVG","MARKET_DATA_OVERRIDE=PX_LAST","START_DATE_OVERRIDE",TEXT(INDEX(MO_SNA_FPStartDate,0,COLUMN()),"YYYYMMDD"),"END_DATE_OVERRIDE",TEXT(INDEX(MO_Common_QEndDate,0,COLUMN()),"YYYYMMDD")),"N/A")</f>
        <v>N/A</v>
      </c>
      <c r="Z565" s="282" t="str">
        <f ca="1">IFERROR(BDP(MO.Ticker.Bloomberg&amp;" Equity","INTERVAL_AVG","MARKET_DATA_OVERRIDE=PX_LAST","START_DATE_OVERRIDE",TEXT(INDEX(MO_SNA_FPStartDate,0,COLUMN()),"YYYYMMDD"),"END_DATE_OVERRIDE",TEXT(INDEX(MO_Common_QEndDate,0,COLUMN()),"YYYYMMDD")),"N/A")</f>
        <v>N/A</v>
      </c>
      <c r="AA565" s="282" t="str">
        <f ca="1">IFERROR(BDP(MO.Ticker.Bloomberg&amp;" Equity","INTERVAL_AVG","MARKET_DATA_OVERRIDE=PX_LAST","START_DATE_OVERRIDE",TEXT(INDEX(MO_SNA_FPStartDate,0,COLUMN()),"YYYYMMDD"),"END_DATE_OVERRIDE",TEXT(INDEX(MO_Common_QEndDate,0,COLUMN()),"YYYYMMDD")),"N/A")</f>
        <v>N/A</v>
      </c>
      <c r="AB565" s="282" t="str">
        <f ca="1">IFERROR(BDP(MO.Ticker.Bloomberg&amp;" Equity","INTERVAL_AVG","MARKET_DATA_OVERRIDE=PX_LAST","START_DATE_OVERRIDE",TEXT(INDEX(MO_SNA_FPStartDate,0,COLUMN()),"YYYYMMDD"),"END_DATE_OVERRIDE",TEXT(INDEX(MO_Common_QEndDate,0,COLUMN()),"YYYYMMDD")),"N/A")</f>
        <v>N/A</v>
      </c>
      <c r="AC565" s="282" t="str">
        <f ca="1">IFERROR(BDP(MO.Ticker.Bloomberg&amp;" Equity","INTERVAL_AVG","MARKET_DATA_OVERRIDE=PX_LAST","START_DATE_OVERRIDE",TEXT(INDEX(MO_SNA_FPStartDate,0,COLUMN()),"YYYYMMDD"),"END_DATE_OVERRIDE",TEXT(INDEX(MO_Common_QEndDate,0,COLUMN()),"YYYYMMDD")),"N/A")</f>
        <v>N/A</v>
      </c>
      <c r="AD565" s="282" t="str">
        <f ca="1">IFERROR(BDP(MO.Ticker.Bloomberg&amp;" Equity","INTERVAL_AVG","MARKET_DATA_OVERRIDE=PX_LAST","START_DATE_OVERRIDE",TEXT(INDEX(MO_SNA_FPStartDate,0,COLUMN()),"YYYYMMDD"),"END_DATE_OVERRIDE",TEXT(INDEX(MO_Common_QEndDate,0,COLUMN()),"YYYYMMDD")),"N/A")</f>
        <v>N/A</v>
      </c>
      <c r="AE565" s="282" t="str">
        <f ca="1">IFERROR(BDP(MO.Ticker.Bloomberg&amp;" Equity","INTERVAL_AVG","MARKET_DATA_OVERRIDE=PX_LAST","START_DATE_OVERRIDE",TEXT(INDEX(MO_SNA_FPStartDate,0,COLUMN()),"YYYYMMDD"),"END_DATE_OVERRIDE",TEXT(INDEX(MO_Common_QEndDate,0,COLUMN()),"YYYYMMDD")),"N/A")</f>
        <v>N/A</v>
      </c>
      <c r="AF565" s="282" t="str">
        <f ca="1">IFERROR(BDP(MO.Ticker.Bloomberg&amp;" Equity","INTERVAL_AVG","MARKET_DATA_OVERRIDE=PX_LAST","START_DATE_OVERRIDE",TEXT(INDEX(MO_SNA_FPStartDate,0,COLUMN()),"YYYYMMDD"),"END_DATE_OVERRIDE",TEXT(INDEX(MO_Common_QEndDate,0,COLUMN()),"YYYYMMDD")),"N/A")</f>
        <v>N/A</v>
      </c>
      <c r="AG565" s="282" t="str">
        <f ca="1">IFERROR(BDP(MO.Ticker.Bloomberg&amp;" Equity","INTERVAL_AVG","MARKET_DATA_OVERRIDE=PX_LAST","START_DATE_OVERRIDE",TEXT(INDEX(MO_SNA_FPStartDate,0,COLUMN()),"YYYYMMDD"),"END_DATE_OVERRIDE",TEXT(INDEX(MO_Common_QEndDate,0,COLUMN()),"YYYYMMDD")),"N/A")</f>
        <v>N/A</v>
      </c>
      <c r="AH565" s="282" t="str">
        <f ca="1">IFERROR(BDP(MO.Ticker.Bloomberg&amp;" Equity","INTERVAL_AVG","MARKET_DATA_OVERRIDE=PX_LAST","START_DATE_OVERRIDE",TEXT(INDEX(MO_SNA_FPStartDate,0,COLUMN()),"YYYYMMDD"),"END_DATE_OVERRIDE",TEXT(INDEX(MO_Common_QEndDate,0,COLUMN()),"YYYYMMDD")),"N/A")</f>
        <v>N/A</v>
      </c>
      <c r="AI565" s="282" t="str">
        <f ca="1">IFERROR(BDP(MO.Ticker.Bloomberg&amp;" Equity","INTERVAL_AVG","MARKET_DATA_OVERRIDE=PX_LAST","START_DATE_OVERRIDE",TEXT(INDEX(MO_SNA_FPStartDate,0,COLUMN()),"YYYYMMDD"),"END_DATE_OVERRIDE",TEXT(INDEX(MO_Common_QEndDate,0,COLUMN()),"YYYYMMDD")),"N/A")</f>
        <v>N/A</v>
      </c>
      <c r="AJ565" s="282" t="str">
        <f ca="1">IFERROR(BDP(MO.Ticker.Bloomberg&amp;" Equity","INTERVAL_AVG","MARKET_DATA_OVERRIDE=PX_LAST","START_DATE_OVERRIDE",TEXT(INDEX(MO_SNA_FPStartDate,0,COLUMN()),"YYYYMMDD"),"END_DATE_OVERRIDE",TEXT(INDEX(MO_Common_QEndDate,0,COLUMN()),"YYYYMMDD")),"N/A")</f>
        <v>N/A</v>
      </c>
      <c r="AK565" s="282" t="str">
        <f ca="1">IFERROR(BDP(MO.Ticker.Bloomberg&amp;" Equity","INTERVAL_AVG","MARKET_DATA_OVERRIDE=PX_LAST","START_DATE_OVERRIDE",TEXT(INDEX(MO_SNA_FPStartDate,0,COLUMN()),"YYYYMMDD"),"END_DATE_OVERRIDE",TEXT(INDEX(MO_Common_QEndDate,0,COLUMN()),"YYYYMMDD")),"N/A")</f>
        <v>N/A</v>
      </c>
      <c r="AL565" s="282" t="str">
        <f ca="1">IFERROR(BDP(MO.Ticker.Bloomberg&amp;" Equity","INTERVAL_AVG","MARKET_DATA_OVERRIDE=PX_LAST","START_DATE_OVERRIDE",TEXT(INDEX(MO_SNA_FPStartDate,0,COLUMN()),"YYYYMMDD"),"END_DATE_OVERRIDE",TEXT(INDEX(MO_Common_QEndDate,0,COLUMN()),"YYYYMMDD")),"N/A")</f>
        <v>N/A</v>
      </c>
      <c r="AM565" s="282" t="str">
        <f ca="1">IFERROR(BDP(MO.Ticker.Bloomberg&amp;" Equity","INTERVAL_AVG","MARKET_DATA_OVERRIDE=PX_LAST","START_DATE_OVERRIDE",TEXT(INDEX(MO_SNA_FPStartDate,0,COLUMN()),"YYYYMMDD"),"END_DATE_OVERRIDE",TEXT(INDEX(MO_Common_QEndDate,0,COLUMN()),"YYYYMMDD")),"N/A")</f>
        <v>N/A</v>
      </c>
      <c r="AN565" s="282" t="str">
        <f ca="1">IFERROR(BDP(MO.Ticker.Bloomberg&amp;" Equity","INTERVAL_AVG","MARKET_DATA_OVERRIDE=PX_LAST","START_DATE_OVERRIDE",TEXT(INDEX(MO_SNA_FPStartDate,0,COLUMN()),"YYYYMMDD"),"END_DATE_OVERRIDE",TEXT(INDEX(MO_Common_QEndDate,0,COLUMN()),"YYYYMMDD")),"N/A")</f>
        <v>N/A</v>
      </c>
      <c r="AO565" s="282" t="str">
        <f ca="1">IFERROR(BDP(MO.Ticker.Bloomberg&amp;" Equity","INTERVAL_AVG","MARKET_DATA_OVERRIDE=PX_LAST","START_DATE_OVERRIDE",TEXT(INDEX(MO_SNA_FPStartDate,0,COLUMN()),"YYYYMMDD"),"END_DATE_OVERRIDE",TEXT(INDEX(MO_Common_QEndDate,0,COLUMN()),"YYYYMMDD")),"N/A")</f>
        <v>N/A</v>
      </c>
      <c r="AP565" s="282" t="str">
        <f ca="1">IFERROR(BDP(MO.Ticker.Bloomberg&amp;" Equity","INTERVAL_AVG","MARKET_DATA_OVERRIDE=PX_LAST","START_DATE_OVERRIDE",TEXT(INDEX(MO_SNA_FPStartDate,0,COLUMN()),"YYYYMMDD"),"END_DATE_OVERRIDE",TEXT(INDEX(MO_Common_QEndDate,0,COLUMN()),"YYYYMMDD")),"N/A")</f>
        <v>N/A</v>
      </c>
      <c r="AQ565" s="282" t="str">
        <f ca="1">IFERROR(BDP(MO.Ticker.Bloomberg&amp;" Equity","INTERVAL_AVG","MARKET_DATA_OVERRIDE=PX_LAST","START_DATE_OVERRIDE",TEXT(INDEX(MO_SNA_FPStartDate,0,COLUMN()),"YYYYMMDD"),"END_DATE_OVERRIDE",TEXT(INDEX(MO_Common_QEndDate,0,COLUMN()),"YYYYMMDD")),"N/A")</f>
        <v>N/A</v>
      </c>
      <c r="AR565" s="282" t="str">
        <f ca="1">IFERROR(BDP(MO.Ticker.Bloomberg&amp;" Equity","INTERVAL_AVG","MARKET_DATA_OVERRIDE=PX_LAST","START_DATE_OVERRIDE",TEXT(INDEX(MO_SNA_FPStartDate,0,COLUMN()),"YYYYMMDD"),"END_DATE_OVERRIDE",TEXT(INDEX(MO_Common_QEndDate,0,COLUMN()),"YYYYMMDD")),"N/A")</f>
        <v>N/A</v>
      </c>
      <c r="AS565" s="282" t="str">
        <f ca="1">IFERROR(BDP(MO.Ticker.Bloomberg&amp;" Equity","INTERVAL_AVG","MARKET_DATA_OVERRIDE=PX_LAST","START_DATE_OVERRIDE",TEXT(INDEX(MO_SNA_FPStartDate,0,COLUMN()),"YYYYMMDD"),"END_DATE_OVERRIDE",TEXT(INDEX(MO_Common_QEndDate,0,COLUMN()),"YYYYMMDD")),"N/A")</f>
        <v>N/A</v>
      </c>
      <c r="AT565" s="282" t="str">
        <f ca="1">IFERROR(BDP(MO.Ticker.Bloomberg&amp;" Equity","INTERVAL_AVG","MARKET_DATA_OVERRIDE=PX_LAST","START_DATE_OVERRIDE",TEXT(INDEX(MO_SNA_FPStartDate,0,COLUMN()),"YYYYMMDD"),"END_DATE_OVERRIDE",TEXT(INDEX(MO_Common_QEndDate,0,COLUMN()),"YYYYMMDD")),"N/A")</f>
        <v>N/A</v>
      </c>
      <c r="AU565" s="282" t="str">
        <f ca="1">IFERROR(BDP(MO.Ticker.Bloomberg&amp;" Equity","INTERVAL_AVG","MARKET_DATA_OVERRIDE=PX_LAST","START_DATE_OVERRIDE",TEXT(INDEX(MO_SNA_FPStartDate,0,COLUMN()),"YYYYMMDD"),"END_DATE_OVERRIDE",TEXT(INDEX(MO_Common_QEndDate,0,COLUMN()),"YYYYMMDD")),"N/A")</f>
        <v>N/A</v>
      </c>
      <c r="AV565" s="282" t="str">
        <f ca="1">IFERROR(BDP(MO.Ticker.Bloomberg&amp;" Equity","INTERVAL_AVG","MARKET_DATA_OVERRIDE=PX_LAST","START_DATE_OVERRIDE",TEXT(INDEX(MO_SNA_FPStartDate,0,COLUMN()),"YYYYMMDD"),"END_DATE_OVERRIDE",TEXT(INDEX(MO_Common_QEndDate,0,COLUMN()),"YYYYMMDD")),"N/A")</f>
        <v>N/A</v>
      </c>
      <c r="AW565" s="282" t="str">
        <f ca="1">IFERROR(BDP(MO.Ticker.Bloomberg&amp;" Equity","INTERVAL_AVG","MARKET_DATA_OVERRIDE=PX_LAST","START_DATE_OVERRIDE",TEXT(INDEX(MO_SNA_FPStartDate,0,COLUMN()),"YYYYMMDD"),"END_DATE_OVERRIDE",TEXT(INDEX(MO_Common_QEndDate,0,COLUMN()),"YYYYMMDD")),"N/A")</f>
        <v>N/A</v>
      </c>
      <c r="AX565" s="282" t="str">
        <f ca="1">IFERROR(BDP(MO.Ticker.Bloomberg&amp;" Equity","INTERVAL_AVG","MARKET_DATA_OVERRIDE=PX_LAST","START_DATE_OVERRIDE",TEXT(INDEX(MO_SNA_FPStartDate,0,COLUMN()),"YYYYMMDD"),"END_DATE_OVERRIDE",TEXT(INDEX(MO_Common_QEndDate,0,COLUMN()),"YYYYMMDD")),"N/A")</f>
        <v>N/A</v>
      </c>
      <c r="AY565" s="282" t="str">
        <f ca="1">IFERROR(BDP(MO.Ticker.Bloomberg&amp;" Equity","INTERVAL_AVG","MARKET_DATA_OVERRIDE=PX_LAST","START_DATE_OVERRIDE",TEXT(INDEX(MO_SNA_FPStartDate,0,COLUMN()),"YYYYMMDD"),"END_DATE_OVERRIDE",TEXT(INDEX(MO_Common_QEndDate,0,COLUMN()),"YYYYMMDD")),"N/A")</f>
        <v>N/A</v>
      </c>
      <c r="AZ565" s="282" t="str">
        <f ca="1">IFERROR(BDP(MO.Ticker.Bloomberg&amp;" Equity","INTERVAL_AVG","MARKET_DATA_OVERRIDE=PX_LAST","START_DATE_OVERRIDE",TEXT(INDEX(MO_SNA_FPStartDate,0,COLUMN()),"YYYYMMDD"),"END_DATE_OVERRIDE",TEXT(INDEX(MO_Common_QEndDate,0,COLUMN()),"YYYYMMDD")),"N/A")</f>
        <v>N/A</v>
      </c>
      <c r="BA565" s="282" t="str">
        <f ca="1">IFERROR(BDP(MO.Ticker.Bloomberg&amp;" Equity","INTERVAL_AVG","MARKET_DATA_OVERRIDE=PX_LAST","START_DATE_OVERRIDE",TEXT(INDEX(MO_SNA_FPStartDate,0,COLUMN()),"YYYYMMDD"),"END_DATE_OVERRIDE",TEXT(INDEX(MO_Common_QEndDate,0,COLUMN()),"YYYYMMDD")),"N/A")</f>
        <v>N/A</v>
      </c>
      <c r="BB565" s="282" t="str">
        <f ca="1">IFERROR(BDP(MO.Ticker.Bloomberg&amp;" Equity","INTERVAL_AVG","MARKET_DATA_OVERRIDE=PX_LAST","START_DATE_OVERRIDE",TEXT(INDEX(MO_SNA_FPStartDate,0,COLUMN()),"YYYYMMDD"),"END_DATE_OVERRIDE",TEXT(INDEX(MO_Common_QEndDate,0,COLUMN()),"YYYYMMDD")),"N/A")</f>
        <v>N/A</v>
      </c>
      <c r="BC565" s="282" t="str">
        <f ca="1">IFERROR(BDP(MO.Ticker.Bloomberg&amp;" Equity","INTERVAL_AVG","MARKET_DATA_OVERRIDE=PX_LAST","START_DATE_OVERRIDE",TEXT(INDEX(MO_SNA_FPStartDate,0,COLUMN()),"YYYYMMDD"),"END_DATE_OVERRIDE",TEXT(INDEX(MO_Common_QEndDate,0,COLUMN()),"YYYYMMDD")),"N/A")</f>
        <v>N/A</v>
      </c>
      <c r="BD565" s="282" t="str">
        <f ca="1">IFERROR(BDP(MO.Ticker.Bloomberg&amp;" Equity","INTERVAL_AVG","MARKET_DATA_OVERRIDE=PX_LAST","START_DATE_OVERRIDE",TEXT(INDEX(MO_SNA_FPStartDate,0,COLUMN()),"YYYYMMDD"),"END_DATE_OVERRIDE",TEXT(INDEX(MO_Common_QEndDate,0,COLUMN()),"YYYYMMDD")),"N/A")</f>
        <v>N/A</v>
      </c>
      <c r="BE565" s="282" t="str">
        <f ca="1">IFERROR(BDP(MO.Ticker.Bloomberg&amp;" Equity","INTERVAL_AVG","MARKET_DATA_OVERRIDE=PX_LAST","START_DATE_OVERRIDE",TEXT(INDEX(MO_SNA_FPStartDate,0,COLUMN()),"YYYYMMDD"),"END_DATE_OVERRIDE",TEXT(INDEX(MO_Common_QEndDate,0,COLUMN()),"YYYYMMDD")),"N/A")</f>
        <v>N/A</v>
      </c>
      <c r="BF565" s="282" t="str">
        <f ca="1">IFERROR(BDP(MO.Ticker.Bloomberg&amp;" Equity","INTERVAL_AVG","MARKET_DATA_OVERRIDE=PX_LAST","START_DATE_OVERRIDE",TEXT(INDEX(MO_SNA_FPStartDate,0,COLUMN()),"YYYYMMDD"),"END_DATE_OVERRIDE",TEXT(INDEX(MO_Common_QEndDate,0,COLUMN()),"YYYYMMDD")),"N/A")</f>
        <v>N/A</v>
      </c>
      <c r="BG565" s="282" t="str">
        <f ca="1">IFERROR(BDP(MO.Ticker.Bloomberg&amp;" Equity","INTERVAL_AVG","MARKET_DATA_OVERRIDE=PX_LAST","START_DATE_OVERRIDE",TEXT(INDEX(MO_SNA_FPStartDate,0,COLUMN()),"YYYYMMDD"),"END_DATE_OVERRIDE",TEXT(INDEX(MO_Common_QEndDate,0,COLUMN()),"YYYYMMDD")),"N/A")</f>
        <v>N/A</v>
      </c>
      <c r="BH565" s="560" t="str">
        <f ca="1">IFERROR(BDP(MO.Ticker.Bloomberg&amp;" Equity","INTERVAL_AVG","MARKET_DATA_OVERRIDE=PX_LAST","START_DATE_OVERRIDE",TEXT(INDEX(MO_SNA_FPStartDate,0,COLUMN()),"YYYYMMDD"),"END_DATE_OVERRIDE",TEXT(INDEX(MO_Common_QEndDate,0,COLUMN()),"YYYYMMDD")),"N/A")</f>
        <v>N/A</v>
      </c>
      <c r="BI565" s="282" t="str">
        <f ca="1">IFERROR(BDP(MO.Ticker.Bloomberg&amp;" Equity","INTERVAL_AVG","MARKET_DATA_OVERRIDE=PX_LAST","START_DATE_OVERRIDE",TEXT(INDEX(MO_SNA_FPStartDate,0,COLUMN()),"YYYYMMDD"),"END_DATE_OVERRIDE",TEXT(INDEX(MO_Common_QEndDate,0,COLUMN()),"YYYYMMDD")),"N/A")</f>
        <v>N/A</v>
      </c>
      <c r="BJ565" s="282" t="str">
        <f ca="1">IFERROR(BDP(MO.Ticker.Bloomberg&amp;" Equity","INTERVAL_AVG","MARKET_DATA_OVERRIDE=PX_LAST","START_DATE_OVERRIDE",TEXT(INDEX(MO_SNA_FPStartDate,0,COLUMN()),"YYYYMMDD"),"END_DATE_OVERRIDE",TEXT(INDEX(MO_Common_QEndDate,0,COLUMN()),"YYYYMMDD")),"N/A")</f>
        <v>N/A</v>
      </c>
      <c r="BK565" s="282" t="str">
        <f ca="1">IFERROR(BDP(MO.Ticker.Bloomberg&amp;" Equity","INTERVAL_AVG","MARKET_DATA_OVERRIDE=PX_LAST","START_DATE_OVERRIDE",TEXT(INDEX(MO_SNA_FPStartDate,0,COLUMN()),"YYYYMMDD"),"END_DATE_OVERRIDE",TEXT(INDEX(MO_Common_QEndDate,0,COLUMN()),"YYYYMMDD")),"N/A")</f>
        <v>N/A</v>
      </c>
      <c r="BL565" s="282" t="str">
        <f ca="1">IFERROR(BDP(MO.Ticker.Bloomberg&amp;" Equity","INTERVAL_AVG","MARKET_DATA_OVERRIDE=PX_LAST","START_DATE_OVERRIDE",TEXT(INDEX(MO_SNA_FPStartDate,0,COLUMN()),"YYYYMMDD"),"END_DATE_OVERRIDE",TEXT(INDEX(MO_Common_QEndDate,0,COLUMN()),"YYYYMMDD")),"N/A")</f>
        <v>N/A</v>
      </c>
      <c r="BM565" s="282" t="str">
        <f ca="1">IFERROR(BDP(MO.Ticker.Bloomberg&amp;" Equity","INTERVAL_AVG","MARKET_DATA_OVERRIDE=PX_LAST","START_DATE_OVERRIDE",TEXT(INDEX(MO_SNA_FPStartDate,0,COLUMN()),"YYYYMMDD"),"END_DATE_OVERRIDE",TEXT(INDEX(MO_Common_QEndDate,0,COLUMN()),"YYYYMMDD")),"N/A")</f>
        <v>N/A</v>
      </c>
      <c r="BN565" s="282" t="str">
        <f ca="1">IFERROR(BDP(MO.Ticker.Bloomberg&amp;" Equity","INTERVAL_AVG","MARKET_DATA_OVERRIDE=PX_LAST","START_DATE_OVERRIDE",TEXT(INDEX(MO_SNA_FPStartDate,0,COLUMN()),"YYYYMMDD"),"END_DATE_OVERRIDE",TEXT(INDEX(MO_Common_QEndDate,0,COLUMN()),"YYYYMMDD")),"N/A")</f>
        <v>N/A</v>
      </c>
      <c r="BO565" s="282" t="str">
        <f ca="1">IFERROR(BDP(MO.Ticker.Bloomberg&amp;" Equity","INTERVAL_AVG","MARKET_DATA_OVERRIDE=PX_LAST","START_DATE_OVERRIDE",TEXT(INDEX(MO_SNA_FPStartDate,0,COLUMN()),"YYYYMMDD"),"END_DATE_OVERRIDE",TEXT(INDEX(MO_Common_QEndDate,0,COLUMN()),"YYYYMMDD")),"N/A")</f>
        <v>N/A</v>
      </c>
      <c r="BP565" s="282" t="str">
        <f ca="1">IFERROR(BDP(MO.Ticker.Bloomberg&amp;" Equity","INTERVAL_AVG","MARKET_DATA_OVERRIDE=PX_LAST","START_DATE_OVERRIDE",TEXT(INDEX(MO_SNA_FPStartDate,0,COLUMN()),"YYYYMMDD"),"END_DATE_OVERRIDE",TEXT(INDEX(MO_Common_QEndDate,0,COLUMN()),"YYYYMMDD")),"N/A")</f>
        <v>N/A</v>
      </c>
      <c r="BQ565" s="282" t="str">
        <f ca="1">IFERROR(BDP(MO.Ticker.Bloomberg&amp;" Equity","INTERVAL_AVG","MARKET_DATA_OVERRIDE=PX_LAST","START_DATE_OVERRIDE",TEXT(INDEX(MO_SNA_FPStartDate,0,COLUMN()),"YYYYMMDD"),"END_DATE_OVERRIDE",TEXT(INDEX(MO_Common_QEndDate,0,COLUMN()),"YYYYMMDD")),"N/A")</f>
        <v>N/A</v>
      </c>
      <c r="BR565" s="284" t="str">
        <f ca="1">IFERROR(BDP(MO.Ticker.Bloomberg&amp;" Equity","INTERVAL_AVG","MARKET_DATA_OVERRIDE=PX_LAST","START_DATE_OVERRIDE",TEXT(INDEX(MO_SNA_FPStartDate,0,COLUMN()),"YYYYMMDD"),"END_DATE_OVERRIDE",TEXT(INDEX(MO_Common_QEndDate,0,COLUMN()),"YYYYMMDD")),"N/A")</f>
        <v>N/A</v>
      </c>
      <c r="BS565" s="323"/>
    </row>
    <row r="566" spans="1:71" s="285" customFormat="1" ht="15" hidden="1" outlineLevel="1">
      <c r="A566" s="286" t="s">
        <v>212</v>
      </c>
      <c r="B566" s="282"/>
      <c r="C566" s="283" t="str">
        <f ca="1">IFERROR(CIQAVG(MO.Ticker.CapIQ,"IQ_LASTSALEPRICE",INDEX(MO_SNA_FPStartDate,0,COLUMN()),INDEX(MO_Common_QEndDate,0,COLUMN())),"N/A")</f>
        <v>N/A</v>
      </c>
      <c r="D566" s="283" t="str">
        <f ca="1">IFERROR(CIQAVG(MO.Ticker.CapIQ,"IQ_LASTSALEPRICE",INDEX(MO_SNA_FPStartDate,0,COLUMN()),INDEX(MO_Common_QEndDate,0,COLUMN())),"N/A")</f>
        <v>N/A</v>
      </c>
      <c r="E566" s="282" t="str">
        <f ca="1">IFERROR(CIQAVG(MO.Ticker.CapIQ,"IQ_LASTSALEPRICE",INDEX(MO_SNA_FPStartDate,0,COLUMN()),INDEX(MO_Common_QEndDate,0,COLUMN())),"N/A")</f>
        <v>N/A</v>
      </c>
      <c r="F566" s="282" t="str">
        <f ca="1">IFERROR(CIQAVG(MO.Ticker.CapIQ,"IQ_LASTSALEPRICE",INDEX(MO_SNA_FPStartDate,0,COLUMN()),INDEX(MO_Common_QEndDate,0,COLUMN())),"N/A")</f>
        <v>N/A</v>
      </c>
      <c r="G566" s="282" t="str">
        <f ca="1">IFERROR(CIQAVG(MO.Ticker.CapIQ,"IQ_LASTSALEPRICE",INDEX(MO_SNA_FPStartDate,0,COLUMN()),INDEX(MO_Common_QEndDate,0,COLUMN())),"N/A")</f>
        <v>N/A</v>
      </c>
      <c r="H566" s="282" t="str">
        <f ca="1">IFERROR(CIQAVG(MO.Ticker.CapIQ,"IQ_LASTSALEPRICE",INDEX(MO_SNA_FPStartDate,0,COLUMN()),INDEX(MO_Common_QEndDate,0,COLUMN())),"N/A")</f>
        <v>N/A</v>
      </c>
      <c r="I566" s="282" t="str">
        <f ca="1">IFERROR(CIQAVG(MO.Ticker.CapIQ,"IQ_LASTSALEPRICE",INDEX(MO_SNA_FPStartDate,0,COLUMN()),INDEX(MO_Common_QEndDate,0,COLUMN())),"N/A")</f>
        <v>N/A</v>
      </c>
      <c r="J566" s="282" t="str">
        <f ca="1">IFERROR(CIQAVG(MO.Ticker.CapIQ,"IQ_LASTSALEPRICE",INDEX(MO_SNA_FPStartDate,0,COLUMN()),INDEX(MO_Common_QEndDate,0,COLUMN())),"N/A")</f>
        <v>N/A</v>
      </c>
      <c r="K566" s="282" t="str">
        <f ca="1">IFERROR(CIQAVG(MO.Ticker.CapIQ,"IQ_LASTSALEPRICE",INDEX(MO_SNA_FPStartDate,0,COLUMN()),INDEX(MO_Common_QEndDate,0,COLUMN())),"N/A")</f>
        <v>N/A</v>
      </c>
      <c r="L566" s="282" t="str">
        <f ca="1">IFERROR(CIQAVG(MO.Ticker.CapIQ,"IQ_LASTSALEPRICE",INDEX(MO_SNA_FPStartDate,0,COLUMN()),INDEX(MO_Common_QEndDate,0,COLUMN())),"N/A")</f>
        <v>N/A</v>
      </c>
      <c r="M566" s="282" t="str">
        <f ca="1">IFERROR(CIQAVG(MO.Ticker.CapIQ,"IQ_LASTSALEPRICE",INDEX(MO_SNA_FPStartDate,0,COLUMN()),INDEX(MO_Common_QEndDate,0,COLUMN())),"N/A")</f>
        <v>N/A</v>
      </c>
      <c r="N566" s="282" t="str">
        <f ca="1">IFERROR(CIQAVG(MO.Ticker.CapIQ,"IQ_LASTSALEPRICE",INDEX(MO_SNA_FPStartDate,0,COLUMN()),INDEX(MO_Common_QEndDate,0,COLUMN())),"N/A")</f>
        <v>N/A</v>
      </c>
      <c r="O566" s="282" t="str">
        <f ca="1">IFERROR(CIQAVG(MO.Ticker.CapIQ,"IQ_LASTSALEPRICE",INDEX(MO_SNA_FPStartDate,0,COLUMN()),INDEX(MO_Common_QEndDate,0,COLUMN())),"N/A")</f>
        <v>N/A</v>
      </c>
      <c r="P566" s="282" t="str">
        <f ca="1">IFERROR(CIQAVG(MO.Ticker.CapIQ,"IQ_LASTSALEPRICE",INDEX(MO_SNA_FPStartDate,0,COLUMN()),INDEX(MO_Common_QEndDate,0,COLUMN())),"N/A")</f>
        <v>N/A</v>
      </c>
      <c r="Q566" s="282" t="str">
        <f ca="1">IFERROR(CIQAVG(MO.Ticker.CapIQ,"IQ_LASTSALEPRICE",INDEX(MO_SNA_FPStartDate,0,COLUMN()),INDEX(MO_Common_QEndDate,0,COLUMN())),"N/A")</f>
        <v>N/A</v>
      </c>
      <c r="R566" s="282" t="str">
        <f ca="1">IFERROR(CIQAVG(MO.Ticker.CapIQ,"IQ_LASTSALEPRICE",INDEX(MO_SNA_FPStartDate,0,COLUMN()),INDEX(MO_Common_QEndDate,0,COLUMN())),"N/A")</f>
        <v>N/A</v>
      </c>
      <c r="S566" s="282" t="str">
        <f ca="1">IFERROR(CIQAVG(MO.Ticker.CapIQ,"IQ_LASTSALEPRICE",INDEX(MO_SNA_FPStartDate,0,COLUMN()),INDEX(MO_Common_QEndDate,0,COLUMN())),"N/A")</f>
        <v>N/A</v>
      </c>
      <c r="T566" s="282" t="str">
        <f ca="1">IFERROR(CIQAVG(MO.Ticker.CapIQ,"IQ_LASTSALEPRICE",INDEX(MO_SNA_FPStartDate,0,COLUMN()),INDEX(MO_Common_QEndDate,0,COLUMN())),"N/A")</f>
        <v>N/A</v>
      </c>
      <c r="U566" s="282" t="str">
        <f ca="1">IFERROR(CIQAVG(MO.Ticker.CapIQ,"IQ_LASTSALEPRICE",INDEX(MO_SNA_FPStartDate,0,COLUMN()),INDEX(MO_Common_QEndDate,0,COLUMN())),"N/A")</f>
        <v>N/A</v>
      </c>
      <c r="V566" s="282" t="str">
        <f ca="1">IFERROR(CIQAVG(MO.Ticker.CapIQ,"IQ_LASTSALEPRICE",INDEX(MO_SNA_FPStartDate,0,COLUMN()),INDEX(MO_Common_QEndDate,0,COLUMN())),"N/A")</f>
        <v>N/A</v>
      </c>
      <c r="W566" s="282" t="str">
        <f ca="1">IFERROR(CIQAVG(MO.Ticker.CapIQ,"IQ_LASTSALEPRICE",INDEX(MO_SNA_FPStartDate,0,COLUMN()),INDEX(MO_Common_QEndDate,0,COLUMN())),"N/A")</f>
        <v>N/A</v>
      </c>
      <c r="X566" s="282" t="str">
        <f ca="1">IFERROR(CIQAVG(MO.Ticker.CapIQ,"IQ_LASTSALEPRICE",INDEX(MO_SNA_FPStartDate,0,COLUMN()),INDEX(MO_Common_QEndDate,0,COLUMN())),"N/A")</f>
        <v>N/A</v>
      </c>
      <c r="Y566" s="282" t="str">
        <f ca="1">IFERROR(CIQAVG(MO.Ticker.CapIQ,"IQ_LASTSALEPRICE",INDEX(MO_SNA_FPStartDate,0,COLUMN()),INDEX(MO_Common_QEndDate,0,COLUMN())),"N/A")</f>
        <v>N/A</v>
      </c>
      <c r="Z566" s="282" t="str">
        <f ca="1">IFERROR(CIQAVG(MO.Ticker.CapIQ,"IQ_LASTSALEPRICE",INDEX(MO_SNA_FPStartDate,0,COLUMN()),INDEX(MO_Common_QEndDate,0,COLUMN())),"N/A")</f>
        <v>N/A</v>
      </c>
      <c r="AA566" s="282" t="str">
        <f ca="1">IFERROR(CIQAVG(MO.Ticker.CapIQ,"IQ_LASTSALEPRICE",INDEX(MO_SNA_FPStartDate,0,COLUMN()),INDEX(MO_Common_QEndDate,0,COLUMN())),"N/A")</f>
        <v>N/A</v>
      </c>
      <c r="AB566" s="282" t="str">
        <f ca="1">IFERROR(CIQAVG(MO.Ticker.CapIQ,"IQ_LASTSALEPRICE",INDEX(MO_SNA_FPStartDate,0,COLUMN()),INDEX(MO_Common_QEndDate,0,COLUMN())),"N/A")</f>
        <v>N/A</v>
      </c>
      <c r="AC566" s="282" t="str">
        <f ca="1">IFERROR(CIQAVG(MO.Ticker.CapIQ,"IQ_LASTSALEPRICE",INDEX(MO_SNA_FPStartDate,0,COLUMN()),INDEX(MO_Common_QEndDate,0,COLUMN())),"N/A")</f>
        <v>N/A</v>
      </c>
      <c r="AD566" s="282" t="str">
        <f ca="1">IFERROR(CIQAVG(MO.Ticker.CapIQ,"IQ_LASTSALEPRICE",INDEX(MO_SNA_FPStartDate,0,COLUMN()),INDEX(MO_Common_QEndDate,0,COLUMN())),"N/A")</f>
        <v>N/A</v>
      </c>
      <c r="AE566" s="282" t="str">
        <f ca="1">IFERROR(CIQAVG(MO.Ticker.CapIQ,"IQ_LASTSALEPRICE",INDEX(MO_SNA_FPStartDate,0,COLUMN()),INDEX(MO_Common_QEndDate,0,COLUMN())),"N/A")</f>
        <v>N/A</v>
      </c>
      <c r="AF566" s="282" t="str">
        <f ca="1">IFERROR(CIQAVG(MO.Ticker.CapIQ,"IQ_LASTSALEPRICE",INDEX(MO_SNA_FPStartDate,0,COLUMN()),INDEX(MO_Common_QEndDate,0,COLUMN())),"N/A")</f>
        <v>N/A</v>
      </c>
      <c r="AG566" s="282" t="str">
        <f ca="1">IFERROR(CIQAVG(MO.Ticker.CapIQ,"IQ_LASTSALEPRICE",INDEX(MO_SNA_FPStartDate,0,COLUMN()),INDEX(MO_Common_QEndDate,0,COLUMN())),"N/A")</f>
        <v>N/A</v>
      </c>
      <c r="AH566" s="282" t="str">
        <f ca="1">IFERROR(CIQAVG(MO.Ticker.CapIQ,"IQ_LASTSALEPRICE",INDEX(MO_SNA_FPStartDate,0,COLUMN()),INDEX(MO_Common_QEndDate,0,COLUMN())),"N/A")</f>
        <v>N/A</v>
      </c>
      <c r="AI566" s="282" t="str">
        <f ca="1">IFERROR(CIQAVG(MO.Ticker.CapIQ,"IQ_LASTSALEPRICE",INDEX(MO_SNA_FPStartDate,0,COLUMN()),INDEX(MO_Common_QEndDate,0,COLUMN())),"N/A")</f>
        <v>N/A</v>
      </c>
      <c r="AJ566" s="282" t="str">
        <f ca="1">IFERROR(CIQAVG(MO.Ticker.CapIQ,"IQ_LASTSALEPRICE",INDEX(MO_SNA_FPStartDate,0,COLUMN()),INDEX(MO_Common_QEndDate,0,COLUMN())),"N/A")</f>
        <v>N/A</v>
      </c>
      <c r="AK566" s="282" t="str">
        <f ca="1">IFERROR(CIQAVG(MO.Ticker.CapIQ,"IQ_LASTSALEPRICE",INDEX(MO_SNA_FPStartDate,0,COLUMN()),INDEX(MO_Common_QEndDate,0,COLUMN())),"N/A")</f>
        <v>N/A</v>
      </c>
      <c r="AL566" s="282" t="str">
        <f ca="1">IFERROR(CIQAVG(MO.Ticker.CapIQ,"IQ_LASTSALEPRICE",INDEX(MO_SNA_FPStartDate,0,COLUMN()),INDEX(MO_Common_QEndDate,0,COLUMN())),"N/A")</f>
        <v>N/A</v>
      </c>
      <c r="AM566" s="282" t="str">
        <f ca="1">IFERROR(CIQAVG(MO.Ticker.CapIQ,"IQ_LASTSALEPRICE",INDEX(MO_SNA_FPStartDate,0,COLUMN()),INDEX(MO_Common_QEndDate,0,COLUMN())),"N/A")</f>
        <v>N/A</v>
      </c>
      <c r="AN566" s="282" t="str">
        <f ca="1">IFERROR(CIQAVG(MO.Ticker.CapIQ,"IQ_LASTSALEPRICE",INDEX(MO_SNA_FPStartDate,0,COLUMN()),INDEX(MO_Common_QEndDate,0,COLUMN())),"N/A")</f>
        <v>N/A</v>
      </c>
      <c r="AO566" s="282" t="str">
        <f ca="1">IFERROR(CIQAVG(MO.Ticker.CapIQ,"IQ_LASTSALEPRICE",INDEX(MO_SNA_FPStartDate,0,COLUMN()),INDEX(MO_Common_QEndDate,0,COLUMN())),"N/A")</f>
        <v>N/A</v>
      </c>
      <c r="AP566" s="282" t="str">
        <f ca="1">IFERROR(CIQAVG(MO.Ticker.CapIQ,"IQ_LASTSALEPRICE",INDEX(MO_SNA_FPStartDate,0,COLUMN()),INDEX(MO_Common_QEndDate,0,COLUMN())),"N/A")</f>
        <v>N/A</v>
      </c>
      <c r="AQ566" s="282" t="str">
        <f ca="1">IFERROR(CIQAVG(MO.Ticker.CapIQ,"IQ_LASTSALEPRICE",INDEX(MO_SNA_FPStartDate,0,COLUMN()),INDEX(MO_Common_QEndDate,0,COLUMN())),"N/A")</f>
        <v>N/A</v>
      </c>
      <c r="AR566" s="282" t="str">
        <f ca="1">IFERROR(CIQAVG(MO.Ticker.CapIQ,"IQ_LASTSALEPRICE",INDEX(MO_SNA_FPStartDate,0,COLUMN()),INDEX(MO_Common_QEndDate,0,COLUMN())),"N/A")</f>
        <v>N/A</v>
      </c>
      <c r="AS566" s="282" t="str">
        <f ca="1">IFERROR(CIQAVG(MO.Ticker.CapIQ,"IQ_LASTSALEPRICE",INDEX(MO_SNA_FPStartDate,0,COLUMN()),INDEX(MO_Common_QEndDate,0,COLUMN())),"N/A")</f>
        <v>N/A</v>
      </c>
      <c r="AT566" s="282" t="str">
        <f ca="1">IFERROR(CIQAVG(MO.Ticker.CapIQ,"IQ_LASTSALEPRICE",INDEX(MO_SNA_FPStartDate,0,COLUMN()),INDEX(MO_Common_QEndDate,0,COLUMN())),"N/A")</f>
        <v>N/A</v>
      </c>
      <c r="AU566" s="282" t="str">
        <f ca="1">IFERROR(CIQAVG(MO.Ticker.CapIQ,"IQ_LASTSALEPRICE",INDEX(MO_SNA_FPStartDate,0,COLUMN()),INDEX(MO_Common_QEndDate,0,COLUMN())),"N/A")</f>
        <v>N/A</v>
      </c>
      <c r="AV566" s="282" t="str">
        <f ca="1">IFERROR(CIQAVG(MO.Ticker.CapIQ,"IQ_LASTSALEPRICE",INDEX(MO_SNA_FPStartDate,0,COLUMN()),INDEX(MO_Common_QEndDate,0,COLUMN())),"N/A")</f>
        <v>N/A</v>
      </c>
      <c r="AW566" s="282" t="str">
        <f ca="1">IFERROR(CIQAVG(MO.Ticker.CapIQ,"IQ_LASTSALEPRICE",INDEX(MO_SNA_FPStartDate,0,COLUMN()),INDEX(MO_Common_QEndDate,0,COLUMN())),"N/A")</f>
        <v>N/A</v>
      </c>
      <c r="AX566" s="282" t="str">
        <f ca="1">IFERROR(CIQAVG(MO.Ticker.CapIQ,"IQ_LASTSALEPRICE",INDEX(MO_SNA_FPStartDate,0,COLUMN()),INDEX(MO_Common_QEndDate,0,COLUMN())),"N/A")</f>
        <v>N/A</v>
      </c>
      <c r="AY566" s="282" t="str">
        <f ca="1">IFERROR(CIQAVG(MO.Ticker.CapIQ,"IQ_LASTSALEPRICE",INDEX(MO_SNA_FPStartDate,0,COLUMN()),INDEX(MO_Common_QEndDate,0,COLUMN())),"N/A")</f>
        <v>N/A</v>
      </c>
      <c r="AZ566" s="282" t="str">
        <f ca="1">IFERROR(CIQAVG(MO.Ticker.CapIQ,"IQ_LASTSALEPRICE",INDEX(MO_SNA_FPStartDate,0,COLUMN()),INDEX(MO_Common_QEndDate,0,COLUMN())),"N/A")</f>
        <v>N/A</v>
      </c>
      <c r="BA566" s="282" t="str">
        <f ca="1">IFERROR(CIQAVG(MO.Ticker.CapIQ,"IQ_LASTSALEPRICE",INDEX(MO_SNA_FPStartDate,0,COLUMN()),INDEX(MO_Common_QEndDate,0,COLUMN())),"N/A")</f>
        <v>N/A</v>
      </c>
      <c r="BB566" s="282" t="str">
        <f ca="1">IFERROR(CIQAVG(MO.Ticker.CapIQ,"IQ_LASTSALEPRICE",INDEX(MO_SNA_FPStartDate,0,COLUMN()),INDEX(MO_Common_QEndDate,0,COLUMN())),"N/A")</f>
        <v>N/A</v>
      </c>
      <c r="BC566" s="282" t="str">
        <f ca="1">IFERROR(CIQAVG(MO.Ticker.CapIQ,"IQ_LASTSALEPRICE",INDEX(MO_SNA_FPStartDate,0,COLUMN()),INDEX(MO_Common_QEndDate,0,COLUMN())),"N/A")</f>
        <v>N/A</v>
      </c>
      <c r="BD566" s="282" t="str">
        <f ca="1">IFERROR(CIQAVG(MO.Ticker.CapIQ,"IQ_LASTSALEPRICE",INDEX(MO_SNA_FPStartDate,0,COLUMN()),INDEX(MO_Common_QEndDate,0,COLUMN())),"N/A")</f>
        <v>N/A</v>
      </c>
      <c r="BE566" s="282" t="str">
        <f ca="1">IFERROR(CIQAVG(MO.Ticker.CapIQ,"IQ_LASTSALEPRICE",INDEX(MO_SNA_FPStartDate,0,COLUMN()),INDEX(MO_Common_QEndDate,0,COLUMN())),"N/A")</f>
        <v>N/A</v>
      </c>
      <c r="BF566" s="282" t="str">
        <f ca="1">IFERROR(CIQAVG(MO.Ticker.CapIQ,"IQ_LASTSALEPRICE",INDEX(MO_SNA_FPStartDate,0,COLUMN()),INDEX(MO_Common_QEndDate,0,COLUMN())),"N/A")</f>
        <v>N/A</v>
      </c>
      <c r="BG566" s="282" t="str">
        <f ca="1">IFERROR(CIQAVG(MO.Ticker.CapIQ,"IQ_LASTSALEPRICE",INDEX(MO_SNA_FPStartDate,0,COLUMN()),INDEX(MO_Common_QEndDate,0,COLUMN())),"N/A")</f>
        <v>N/A</v>
      </c>
      <c r="BH566" s="560" t="str">
        <f ca="1">IFERROR(CIQAVG(MO.Ticker.CapIQ,"IQ_LASTSALEPRICE",INDEX(MO_SNA_FPStartDate,0,COLUMN()),INDEX(MO_Common_QEndDate,0,COLUMN())),"N/A")</f>
        <v>N/A</v>
      </c>
      <c r="BI566" s="282" t="str">
        <f ca="1">IFERROR(CIQAVG(MO.Ticker.CapIQ,"IQ_LASTSALEPRICE",INDEX(MO_SNA_FPStartDate,0,COLUMN()),INDEX(MO_Common_QEndDate,0,COLUMN())),"N/A")</f>
        <v>N/A</v>
      </c>
      <c r="BJ566" s="282" t="str">
        <f ca="1">IFERROR(CIQAVG(MO.Ticker.CapIQ,"IQ_LASTSALEPRICE",INDEX(MO_SNA_FPStartDate,0,COLUMN()),INDEX(MO_Common_QEndDate,0,COLUMN())),"N/A")</f>
        <v>N/A</v>
      </c>
      <c r="BK566" s="282" t="str">
        <f ca="1">IFERROR(CIQAVG(MO.Ticker.CapIQ,"IQ_LASTSALEPRICE",INDEX(MO_SNA_FPStartDate,0,COLUMN()),INDEX(MO_Common_QEndDate,0,COLUMN())),"N/A")</f>
        <v>N/A</v>
      </c>
      <c r="BL566" s="282" t="str">
        <f ca="1">IFERROR(CIQAVG(MO.Ticker.CapIQ,"IQ_LASTSALEPRICE",INDEX(MO_SNA_FPStartDate,0,COLUMN()),INDEX(MO_Common_QEndDate,0,COLUMN())),"N/A")</f>
        <v>N/A</v>
      </c>
      <c r="BM566" s="282" t="str">
        <f ca="1">IFERROR(CIQAVG(MO.Ticker.CapIQ,"IQ_LASTSALEPRICE",INDEX(MO_SNA_FPStartDate,0,COLUMN()),INDEX(MO_Common_QEndDate,0,COLUMN())),"N/A")</f>
        <v>N/A</v>
      </c>
      <c r="BN566" s="282" t="str">
        <f ca="1">IFERROR(CIQAVG(MO.Ticker.CapIQ,"IQ_LASTSALEPRICE",INDEX(MO_SNA_FPStartDate,0,COLUMN()),INDEX(MO_Common_QEndDate,0,COLUMN())),"N/A")</f>
        <v>N/A</v>
      </c>
      <c r="BO566" s="282" t="str">
        <f ca="1">IFERROR(CIQAVG(MO.Ticker.CapIQ,"IQ_LASTSALEPRICE",INDEX(MO_SNA_FPStartDate,0,COLUMN()),INDEX(MO_Common_QEndDate,0,COLUMN())),"N/A")</f>
        <v>N/A</v>
      </c>
      <c r="BP566" s="282" t="str">
        <f ca="1">IFERROR(CIQAVG(MO.Ticker.CapIQ,"IQ_LASTSALEPRICE",INDEX(MO_SNA_FPStartDate,0,COLUMN()),INDEX(MO_Common_QEndDate,0,COLUMN())),"N/A")</f>
        <v>N/A</v>
      </c>
      <c r="BQ566" s="282" t="str">
        <f ca="1">IFERROR(CIQAVG(MO.Ticker.CapIQ,"IQ_LASTSALEPRICE",INDEX(MO_SNA_FPStartDate,0,COLUMN()),INDEX(MO_Common_QEndDate,0,COLUMN())),"N/A")</f>
        <v>N/A</v>
      </c>
      <c r="BR566" s="284" t="str">
        <f ca="1">IFERROR(CIQAVG(MO.Ticker.CapIQ,"IQ_LASTSALEPRICE",INDEX(MO_SNA_FPStartDate,0,COLUMN()),INDEX(MO_Common_QEndDate,0,COLUMN())),"N/A")</f>
        <v>N/A</v>
      </c>
      <c r="BS566" s="323"/>
    </row>
    <row r="567" spans="1:71" s="285" customFormat="1" ht="15" hidden="1" outlineLevel="1">
      <c r="A567" s="286" t="s">
        <v>213</v>
      </c>
      <c r="B567" s="282"/>
      <c r="C567" s="283" t="str">
        <f ca="1">IFERROR(FDS(MO.Ticker.FactSet,"P_PRICE_AVG"&amp;"("&amp;INDEX(MO_SNA_FPStartDate,0,COLUMN())&amp;","&amp;INDEX(MO_Common_QEndDate,0,COLUMN())&amp;",,,,""PRICE"",""CLOSE"")"),"N/A")</f>
        <v>N/A</v>
      </c>
      <c r="D567" s="283" t="str">
        <f ca="1">IFERROR(FDS(MO.Ticker.FactSet,"P_PRICE_AVG"&amp;"("&amp;INDEX(MO_SNA_FPStartDate,0,COLUMN())&amp;","&amp;INDEX(MO_Common_QEndDate,0,COLUMN())&amp;",,,,""PRICE"",""CLOSE"")"),"N/A")</f>
        <v>N/A</v>
      </c>
      <c r="E567" s="282" t="str">
        <f ca="1">IFERROR(FDS(MO.Ticker.FactSet,"P_PRICE_AVG"&amp;"("&amp;INDEX(MO_SNA_FPStartDate,0,COLUMN())&amp;","&amp;INDEX(MO_Common_QEndDate,0,COLUMN())&amp;",,,,""PRICE"",""CLOSE"")"),"N/A")</f>
        <v>N/A</v>
      </c>
      <c r="F567" s="282" t="str">
        <f ca="1">IFERROR(FDS(MO.Ticker.FactSet,"P_PRICE_AVG"&amp;"("&amp;INDEX(MO_SNA_FPStartDate,0,COLUMN())&amp;","&amp;INDEX(MO_Common_QEndDate,0,COLUMN())&amp;",,,,""PRICE"",""CLOSE"")"),"N/A")</f>
        <v>N/A</v>
      </c>
      <c r="G567" s="282" t="str">
        <f ca="1">IFERROR(FDS(MO.Ticker.FactSet,"P_PRICE_AVG"&amp;"("&amp;INDEX(MO_SNA_FPStartDate,0,COLUMN())&amp;","&amp;INDEX(MO_Common_QEndDate,0,COLUMN())&amp;",,,,""PRICE"",""CLOSE"")"),"N/A")</f>
        <v>N/A</v>
      </c>
      <c r="H567" s="282" t="str">
        <f ca="1">IFERROR(FDS(MO.Ticker.FactSet,"P_PRICE_AVG"&amp;"("&amp;INDEX(MO_SNA_FPStartDate,0,COLUMN())&amp;","&amp;INDEX(MO_Common_QEndDate,0,COLUMN())&amp;",,,,""PRICE"",""CLOSE"")"),"N/A")</f>
        <v>N/A</v>
      </c>
      <c r="I567" s="282" t="str">
        <f ca="1">IFERROR(FDS(MO.Ticker.FactSet,"P_PRICE_AVG"&amp;"("&amp;INDEX(MO_SNA_FPStartDate,0,COLUMN())&amp;","&amp;INDEX(MO_Common_QEndDate,0,COLUMN())&amp;",,,,""PRICE"",""CLOSE"")"),"N/A")</f>
        <v>N/A</v>
      </c>
      <c r="J567" s="282" t="str">
        <f ca="1">IFERROR(FDS(MO.Ticker.FactSet,"P_PRICE_AVG"&amp;"("&amp;INDEX(MO_SNA_FPStartDate,0,COLUMN())&amp;","&amp;INDEX(MO_Common_QEndDate,0,COLUMN())&amp;",,,,""PRICE"",""CLOSE"")"),"N/A")</f>
        <v>N/A</v>
      </c>
      <c r="K567" s="282" t="str">
        <f ca="1">IFERROR(FDS(MO.Ticker.FactSet,"P_PRICE_AVG"&amp;"("&amp;INDEX(MO_SNA_FPStartDate,0,COLUMN())&amp;","&amp;INDEX(MO_Common_QEndDate,0,COLUMN())&amp;",,,,""PRICE"",""CLOSE"")"),"N/A")</f>
        <v>N/A</v>
      </c>
      <c r="L567" s="282" t="str">
        <f ca="1">IFERROR(FDS(MO.Ticker.FactSet,"P_PRICE_AVG"&amp;"("&amp;INDEX(MO_SNA_FPStartDate,0,COLUMN())&amp;","&amp;INDEX(MO_Common_QEndDate,0,COLUMN())&amp;",,,,""PRICE"",""CLOSE"")"),"N/A")</f>
        <v>N/A</v>
      </c>
      <c r="M567" s="282" t="str">
        <f ca="1">IFERROR(FDS(MO.Ticker.FactSet,"P_PRICE_AVG"&amp;"("&amp;INDEX(MO_SNA_FPStartDate,0,COLUMN())&amp;","&amp;INDEX(MO_Common_QEndDate,0,COLUMN())&amp;",,,,""PRICE"",""CLOSE"")"),"N/A")</f>
        <v>N/A</v>
      </c>
      <c r="N567" s="282" t="str">
        <f ca="1">IFERROR(FDS(MO.Ticker.FactSet,"P_PRICE_AVG"&amp;"("&amp;INDEX(MO_SNA_FPStartDate,0,COLUMN())&amp;","&amp;INDEX(MO_Common_QEndDate,0,COLUMN())&amp;",,,,""PRICE"",""CLOSE"")"),"N/A")</f>
        <v>N/A</v>
      </c>
      <c r="O567" s="282" t="str">
        <f ca="1">IFERROR(FDS(MO.Ticker.FactSet,"P_PRICE_AVG"&amp;"("&amp;INDEX(MO_SNA_FPStartDate,0,COLUMN())&amp;","&amp;INDEX(MO_Common_QEndDate,0,COLUMN())&amp;",,,,""PRICE"",""CLOSE"")"),"N/A")</f>
        <v>N/A</v>
      </c>
      <c r="P567" s="282" t="str">
        <f ca="1">IFERROR(FDS(MO.Ticker.FactSet,"P_PRICE_AVG"&amp;"("&amp;INDEX(MO_SNA_FPStartDate,0,COLUMN())&amp;","&amp;INDEX(MO_Common_QEndDate,0,COLUMN())&amp;",,,,""PRICE"",""CLOSE"")"),"N/A")</f>
        <v>N/A</v>
      </c>
      <c r="Q567" s="282" t="str">
        <f ca="1">IFERROR(FDS(MO.Ticker.FactSet,"P_PRICE_AVG"&amp;"("&amp;INDEX(MO_SNA_FPStartDate,0,COLUMN())&amp;","&amp;INDEX(MO_Common_QEndDate,0,COLUMN())&amp;",,,,""PRICE"",""CLOSE"")"),"N/A")</f>
        <v>N/A</v>
      </c>
      <c r="R567" s="282" t="str">
        <f ca="1">IFERROR(FDS(MO.Ticker.FactSet,"P_PRICE_AVG"&amp;"("&amp;INDEX(MO_SNA_FPStartDate,0,COLUMN())&amp;","&amp;INDEX(MO_Common_QEndDate,0,COLUMN())&amp;",,,,""PRICE"",""CLOSE"")"),"N/A")</f>
        <v>N/A</v>
      </c>
      <c r="S567" s="282" t="str">
        <f ca="1">IFERROR(FDS(MO.Ticker.FactSet,"P_PRICE_AVG"&amp;"("&amp;INDEX(MO_SNA_FPStartDate,0,COLUMN())&amp;","&amp;INDEX(MO_Common_QEndDate,0,COLUMN())&amp;",,,,""PRICE"",""CLOSE"")"),"N/A")</f>
        <v>N/A</v>
      </c>
      <c r="T567" s="282" t="str">
        <f ca="1">IFERROR(FDS(MO.Ticker.FactSet,"P_PRICE_AVG"&amp;"("&amp;INDEX(MO_SNA_FPStartDate,0,COLUMN())&amp;","&amp;INDEX(MO_Common_QEndDate,0,COLUMN())&amp;",,,,""PRICE"",""CLOSE"")"),"N/A")</f>
        <v>N/A</v>
      </c>
      <c r="U567" s="282" t="str">
        <f ca="1">IFERROR(FDS(MO.Ticker.FactSet,"P_PRICE_AVG"&amp;"("&amp;INDEX(MO_SNA_FPStartDate,0,COLUMN())&amp;","&amp;INDEX(MO_Common_QEndDate,0,COLUMN())&amp;",,,,""PRICE"",""CLOSE"")"),"N/A")</f>
        <v>N/A</v>
      </c>
      <c r="V567" s="282" t="str">
        <f ca="1">IFERROR(FDS(MO.Ticker.FactSet,"P_PRICE_AVG"&amp;"("&amp;INDEX(MO_SNA_FPStartDate,0,COLUMN())&amp;","&amp;INDEX(MO_Common_QEndDate,0,COLUMN())&amp;",,,,""PRICE"",""CLOSE"")"),"N/A")</f>
        <v>N/A</v>
      </c>
      <c r="W567" s="282" t="str">
        <f ca="1">IFERROR(FDS(MO.Ticker.FactSet,"P_PRICE_AVG"&amp;"("&amp;INDEX(MO_SNA_FPStartDate,0,COLUMN())&amp;","&amp;INDEX(MO_Common_QEndDate,0,COLUMN())&amp;",,,,""PRICE"",""CLOSE"")"),"N/A")</f>
        <v>N/A</v>
      </c>
      <c r="X567" s="282" t="str">
        <f ca="1">IFERROR(FDS(MO.Ticker.FactSet,"P_PRICE_AVG"&amp;"("&amp;INDEX(MO_SNA_FPStartDate,0,COLUMN())&amp;","&amp;INDEX(MO_Common_QEndDate,0,COLUMN())&amp;",,,,""PRICE"",""CLOSE"")"),"N/A")</f>
        <v>N/A</v>
      </c>
      <c r="Y567" s="282" t="str">
        <f ca="1">IFERROR(FDS(MO.Ticker.FactSet,"P_PRICE_AVG"&amp;"("&amp;INDEX(MO_SNA_FPStartDate,0,COLUMN())&amp;","&amp;INDEX(MO_Common_QEndDate,0,COLUMN())&amp;",,,,""PRICE"",""CLOSE"")"),"N/A")</f>
        <v>N/A</v>
      </c>
      <c r="Z567" s="282" t="str">
        <f ca="1">IFERROR(FDS(MO.Ticker.FactSet,"P_PRICE_AVG"&amp;"("&amp;INDEX(MO_SNA_FPStartDate,0,COLUMN())&amp;","&amp;INDEX(MO_Common_QEndDate,0,COLUMN())&amp;",,,,""PRICE"",""CLOSE"")"),"N/A")</f>
        <v>N/A</v>
      </c>
      <c r="AA567" s="282" t="str">
        <f ca="1">IFERROR(FDS(MO.Ticker.FactSet,"P_PRICE_AVG"&amp;"("&amp;INDEX(MO_SNA_FPStartDate,0,COLUMN())&amp;","&amp;INDEX(MO_Common_QEndDate,0,COLUMN())&amp;",,,,""PRICE"",""CLOSE"")"),"N/A")</f>
        <v>N/A</v>
      </c>
      <c r="AB567" s="282" t="str">
        <f ca="1">IFERROR(FDS(MO.Ticker.FactSet,"P_PRICE_AVG"&amp;"("&amp;INDEX(MO_SNA_FPStartDate,0,COLUMN())&amp;","&amp;INDEX(MO_Common_QEndDate,0,COLUMN())&amp;",,,,""PRICE"",""CLOSE"")"),"N/A")</f>
        <v>N/A</v>
      </c>
      <c r="AC567" s="282" t="str">
        <f ca="1">IFERROR(FDS(MO.Ticker.FactSet,"P_PRICE_AVG"&amp;"("&amp;INDEX(MO_SNA_FPStartDate,0,COLUMN())&amp;","&amp;INDEX(MO_Common_QEndDate,0,COLUMN())&amp;",,,,""PRICE"",""CLOSE"")"),"N/A")</f>
        <v>N/A</v>
      </c>
      <c r="AD567" s="282" t="str">
        <f ca="1">IFERROR(FDS(MO.Ticker.FactSet,"P_PRICE_AVG"&amp;"("&amp;INDEX(MO_SNA_FPStartDate,0,COLUMN())&amp;","&amp;INDEX(MO_Common_QEndDate,0,COLUMN())&amp;",,,,""PRICE"",""CLOSE"")"),"N/A")</f>
        <v>N/A</v>
      </c>
      <c r="AE567" s="282" t="str">
        <f ca="1">IFERROR(FDS(MO.Ticker.FactSet,"P_PRICE_AVG"&amp;"("&amp;INDEX(MO_SNA_FPStartDate,0,COLUMN())&amp;","&amp;INDEX(MO_Common_QEndDate,0,COLUMN())&amp;",,,,""PRICE"",""CLOSE"")"),"N/A")</f>
        <v>N/A</v>
      </c>
      <c r="AF567" s="282" t="str">
        <f ca="1">IFERROR(FDS(MO.Ticker.FactSet,"P_PRICE_AVG"&amp;"("&amp;INDEX(MO_SNA_FPStartDate,0,COLUMN())&amp;","&amp;INDEX(MO_Common_QEndDate,0,COLUMN())&amp;",,,,""PRICE"",""CLOSE"")"),"N/A")</f>
        <v>N/A</v>
      </c>
      <c r="AG567" s="282" t="str">
        <f ca="1">IFERROR(FDS(MO.Ticker.FactSet,"P_PRICE_AVG"&amp;"("&amp;INDEX(MO_SNA_FPStartDate,0,COLUMN())&amp;","&amp;INDEX(MO_Common_QEndDate,0,COLUMN())&amp;",,,,""PRICE"",""CLOSE"")"),"N/A")</f>
        <v>N/A</v>
      </c>
      <c r="AH567" s="282" t="str">
        <f ca="1">IFERROR(FDS(MO.Ticker.FactSet,"P_PRICE_AVG"&amp;"("&amp;INDEX(MO_SNA_FPStartDate,0,COLUMN())&amp;","&amp;INDEX(MO_Common_QEndDate,0,COLUMN())&amp;",,,,""PRICE"",""CLOSE"")"),"N/A")</f>
        <v>N/A</v>
      </c>
      <c r="AI567" s="282" t="str">
        <f ca="1">IFERROR(FDS(MO.Ticker.FactSet,"P_PRICE_AVG"&amp;"("&amp;INDEX(MO_SNA_FPStartDate,0,COLUMN())&amp;","&amp;INDEX(MO_Common_QEndDate,0,COLUMN())&amp;",,,,""PRICE"",""CLOSE"")"),"N/A")</f>
        <v>N/A</v>
      </c>
      <c r="AJ567" s="282" t="str">
        <f ca="1">IFERROR(FDS(MO.Ticker.FactSet,"P_PRICE_AVG"&amp;"("&amp;INDEX(MO_SNA_FPStartDate,0,COLUMN())&amp;","&amp;INDEX(MO_Common_QEndDate,0,COLUMN())&amp;",,,,""PRICE"",""CLOSE"")"),"N/A")</f>
        <v>N/A</v>
      </c>
      <c r="AK567" s="282" t="str">
        <f ca="1">IFERROR(FDS(MO.Ticker.FactSet,"P_PRICE_AVG"&amp;"("&amp;INDEX(MO_SNA_FPStartDate,0,COLUMN())&amp;","&amp;INDEX(MO_Common_QEndDate,0,COLUMN())&amp;",,,,""PRICE"",""CLOSE"")"),"N/A")</f>
        <v>N/A</v>
      </c>
      <c r="AL567" s="282" t="str">
        <f ca="1">IFERROR(FDS(MO.Ticker.FactSet,"P_PRICE_AVG"&amp;"("&amp;INDEX(MO_SNA_FPStartDate,0,COLUMN())&amp;","&amp;INDEX(MO_Common_QEndDate,0,COLUMN())&amp;",,,,""PRICE"",""CLOSE"")"),"N/A")</f>
        <v>N/A</v>
      </c>
      <c r="AM567" s="282" t="str">
        <f ca="1">IFERROR(FDS(MO.Ticker.FactSet,"P_PRICE_AVG"&amp;"("&amp;INDEX(MO_SNA_FPStartDate,0,COLUMN())&amp;","&amp;INDEX(MO_Common_QEndDate,0,COLUMN())&amp;",,,,""PRICE"",""CLOSE"")"),"N/A")</f>
        <v>N/A</v>
      </c>
      <c r="AN567" s="282" t="str">
        <f ca="1">IFERROR(FDS(MO.Ticker.FactSet,"P_PRICE_AVG"&amp;"("&amp;INDEX(MO_SNA_FPStartDate,0,COLUMN())&amp;","&amp;INDEX(MO_Common_QEndDate,0,COLUMN())&amp;",,,,""PRICE"",""CLOSE"")"),"N/A")</f>
        <v>N/A</v>
      </c>
      <c r="AO567" s="282" t="str">
        <f ca="1">IFERROR(FDS(MO.Ticker.FactSet,"P_PRICE_AVG"&amp;"("&amp;INDEX(MO_SNA_FPStartDate,0,COLUMN())&amp;","&amp;INDEX(MO_Common_QEndDate,0,COLUMN())&amp;",,,,""PRICE"",""CLOSE"")"),"N/A")</f>
        <v>N/A</v>
      </c>
      <c r="AP567" s="282" t="str">
        <f ca="1">IFERROR(FDS(MO.Ticker.FactSet,"P_PRICE_AVG"&amp;"("&amp;INDEX(MO_SNA_FPStartDate,0,COLUMN())&amp;","&amp;INDEX(MO_Common_QEndDate,0,COLUMN())&amp;",,,,""PRICE"",""CLOSE"")"),"N/A")</f>
        <v>N/A</v>
      </c>
      <c r="AQ567" s="282" t="str">
        <f ca="1">IFERROR(FDS(MO.Ticker.FactSet,"P_PRICE_AVG"&amp;"("&amp;INDEX(MO_SNA_FPStartDate,0,COLUMN())&amp;","&amp;INDEX(MO_Common_QEndDate,0,COLUMN())&amp;",,,,""PRICE"",""CLOSE"")"),"N/A")</f>
        <v>N/A</v>
      </c>
      <c r="AR567" s="282" t="str">
        <f ca="1">IFERROR(FDS(MO.Ticker.FactSet,"P_PRICE_AVG"&amp;"("&amp;INDEX(MO_SNA_FPStartDate,0,COLUMN())&amp;","&amp;INDEX(MO_Common_QEndDate,0,COLUMN())&amp;",,,,""PRICE"",""CLOSE"")"),"N/A")</f>
        <v>N/A</v>
      </c>
      <c r="AS567" s="282" t="str">
        <f ca="1">IFERROR(FDS(MO.Ticker.FactSet,"P_PRICE_AVG"&amp;"("&amp;INDEX(MO_SNA_FPStartDate,0,COLUMN())&amp;","&amp;INDEX(MO_Common_QEndDate,0,COLUMN())&amp;",,,,""PRICE"",""CLOSE"")"),"N/A")</f>
        <v>N/A</v>
      </c>
      <c r="AT567" s="282" t="str">
        <f ca="1">IFERROR(FDS(MO.Ticker.FactSet,"P_PRICE_AVG"&amp;"("&amp;INDEX(MO_SNA_FPStartDate,0,COLUMN())&amp;","&amp;INDEX(MO_Common_QEndDate,0,COLUMN())&amp;",,,,""PRICE"",""CLOSE"")"),"N/A")</f>
        <v>N/A</v>
      </c>
      <c r="AU567" s="282" t="str">
        <f ca="1">IFERROR(FDS(MO.Ticker.FactSet,"P_PRICE_AVG"&amp;"("&amp;INDEX(MO_SNA_FPStartDate,0,COLUMN())&amp;","&amp;INDEX(MO_Common_QEndDate,0,COLUMN())&amp;",,,,""PRICE"",""CLOSE"")"),"N/A")</f>
        <v>N/A</v>
      </c>
      <c r="AV567" s="282" t="str">
        <f ca="1">IFERROR(FDS(MO.Ticker.FactSet,"P_PRICE_AVG"&amp;"("&amp;INDEX(MO_SNA_FPStartDate,0,COLUMN())&amp;","&amp;INDEX(MO_Common_QEndDate,0,COLUMN())&amp;",,,,""PRICE"",""CLOSE"")"),"N/A")</f>
        <v>N/A</v>
      </c>
      <c r="AW567" s="282" t="str">
        <f ca="1">IFERROR(FDS(MO.Ticker.FactSet,"P_PRICE_AVG"&amp;"("&amp;INDEX(MO_SNA_FPStartDate,0,COLUMN())&amp;","&amp;INDEX(MO_Common_QEndDate,0,COLUMN())&amp;",,,,""PRICE"",""CLOSE"")"),"N/A")</f>
        <v>N/A</v>
      </c>
      <c r="AX567" s="282" t="str">
        <f ca="1">IFERROR(FDS(MO.Ticker.FactSet,"P_PRICE_AVG"&amp;"("&amp;INDEX(MO_SNA_FPStartDate,0,COLUMN())&amp;","&amp;INDEX(MO_Common_QEndDate,0,COLUMN())&amp;",,,,""PRICE"",""CLOSE"")"),"N/A")</f>
        <v>N/A</v>
      </c>
      <c r="AY567" s="282" t="str">
        <f ca="1">IFERROR(FDS(MO.Ticker.FactSet,"P_PRICE_AVG"&amp;"("&amp;INDEX(MO_SNA_FPStartDate,0,COLUMN())&amp;","&amp;INDEX(MO_Common_QEndDate,0,COLUMN())&amp;",,,,""PRICE"",""CLOSE"")"),"N/A")</f>
        <v>N/A</v>
      </c>
      <c r="AZ567" s="282" t="str">
        <f ca="1">IFERROR(FDS(MO.Ticker.FactSet,"P_PRICE_AVG"&amp;"("&amp;INDEX(MO_SNA_FPStartDate,0,COLUMN())&amp;","&amp;INDEX(MO_Common_QEndDate,0,COLUMN())&amp;",,,,""PRICE"",""CLOSE"")"),"N/A")</f>
        <v>N/A</v>
      </c>
      <c r="BA567" s="282" t="str">
        <f ca="1">IFERROR(FDS(MO.Ticker.FactSet,"P_PRICE_AVG"&amp;"("&amp;INDEX(MO_SNA_FPStartDate,0,COLUMN())&amp;","&amp;INDEX(MO_Common_QEndDate,0,COLUMN())&amp;",,,,""PRICE"",""CLOSE"")"),"N/A")</f>
        <v>N/A</v>
      </c>
      <c r="BB567" s="282" t="str">
        <f ca="1">IFERROR(FDS(MO.Ticker.FactSet,"P_PRICE_AVG"&amp;"("&amp;INDEX(MO_SNA_FPStartDate,0,COLUMN())&amp;","&amp;INDEX(MO_Common_QEndDate,0,COLUMN())&amp;",,,,""PRICE"",""CLOSE"")"),"N/A")</f>
        <v>N/A</v>
      </c>
      <c r="BC567" s="282" t="str">
        <f ca="1">IFERROR(FDS(MO.Ticker.FactSet,"P_PRICE_AVG"&amp;"("&amp;INDEX(MO_SNA_FPStartDate,0,COLUMN())&amp;","&amp;INDEX(MO_Common_QEndDate,0,COLUMN())&amp;",,,,""PRICE"",""CLOSE"")"),"N/A")</f>
        <v>N/A</v>
      </c>
      <c r="BD567" s="282" t="str">
        <f ca="1">IFERROR(FDS(MO.Ticker.FactSet,"P_PRICE_AVG"&amp;"("&amp;INDEX(MO_SNA_FPStartDate,0,COLUMN())&amp;","&amp;INDEX(MO_Common_QEndDate,0,COLUMN())&amp;",,,,""PRICE"",""CLOSE"")"),"N/A")</f>
        <v>N/A</v>
      </c>
      <c r="BE567" s="282" t="str">
        <f ca="1">IFERROR(FDS(MO.Ticker.FactSet,"P_PRICE_AVG"&amp;"("&amp;INDEX(MO_SNA_FPStartDate,0,COLUMN())&amp;","&amp;INDEX(MO_Common_QEndDate,0,COLUMN())&amp;",,,,""PRICE"",""CLOSE"")"),"N/A")</f>
        <v>N/A</v>
      </c>
      <c r="BF567" s="282" t="str">
        <f ca="1">IFERROR(FDS(MO.Ticker.FactSet,"P_PRICE_AVG"&amp;"("&amp;INDEX(MO_SNA_FPStartDate,0,COLUMN())&amp;","&amp;INDEX(MO_Common_QEndDate,0,COLUMN())&amp;",,,,""PRICE"",""CLOSE"")"),"N/A")</f>
        <v>N/A</v>
      </c>
      <c r="BG567" s="282" t="str">
        <f ca="1">IFERROR(FDS(MO.Ticker.FactSet,"P_PRICE_AVG"&amp;"("&amp;INDEX(MO_SNA_FPStartDate,0,COLUMN())&amp;","&amp;INDEX(MO_Common_QEndDate,0,COLUMN())&amp;",,,,""PRICE"",""CLOSE"")"),"N/A")</f>
        <v>N/A</v>
      </c>
      <c r="BH567" s="560" t="str">
        <f ca="1">IFERROR(FDS(MO.Ticker.FactSet,"P_PRICE_AVG"&amp;"("&amp;INDEX(MO_SNA_FPStartDate,0,COLUMN())&amp;","&amp;INDEX(MO_Common_QEndDate,0,COLUMN())&amp;",,,,""PRICE"",""CLOSE"")"),"N/A")</f>
        <v>N/A</v>
      </c>
      <c r="BI567" s="282" t="str">
        <f ca="1">IFERROR(FDS(MO.Ticker.FactSet,"P_PRICE_AVG"&amp;"("&amp;INDEX(MO_SNA_FPStartDate,0,COLUMN())&amp;","&amp;INDEX(MO_Common_QEndDate,0,COLUMN())&amp;",,,,""PRICE"",""CLOSE"")"),"N/A")</f>
        <v>N/A</v>
      </c>
      <c r="BJ567" s="282" t="str">
        <f ca="1">IFERROR(FDS(MO.Ticker.FactSet,"P_PRICE_AVG"&amp;"("&amp;INDEX(MO_SNA_FPStartDate,0,COLUMN())&amp;","&amp;INDEX(MO_Common_QEndDate,0,COLUMN())&amp;",,,,""PRICE"",""CLOSE"")"),"N/A")</f>
        <v>N/A</v>
      </c>
      <c r="BK567" s="282" t="str">
        <f ca="1">IFERROR(FDS(MO.Ticker.FactSet,"P_PRICE_AVG"&amp;"("&amp;INDEX(MO_SNA_FPStartDate,0,COLUMN())&amp;","&amp;INDEX(MO_Common_QEndDate,0,COLUMN())&amp;",,,,""PRICE"",""CLOSE"")"),"N/A")</f>
        <v>N/A</v>
      </c>
      <c r="BL567" s="282" t="str">
        <f ca="1">IFERROR(FDS(MO.Ticker.FactSet,"P_PRICE_AVG"&amp;"("&amp;INDEX(MO_SNA_FPStartDate,0,COLUMN())&amp;","&amp;INDEX(MO_Common_QEndDate,0,COLUMN())&amp;",,,,""PRICE"",""CLOSE"")"),"N/A")</f>
        <v>N/A</v>
      </c>
      <c r="BM567" s="282" t="str">
        <f ca="1">IFERROR(FDS(MO.Ticker.FactSet,"P_PRICE_AVG"&amp;"("&amp;INDEX(MO_SNA_FPStartDate,0,COLUMN())&amp;","&amp;INDEX(MO_Common_QEndDate,0,COLUMN())&amp;",,,,""PRICE"",""CLOSE"")"),"N/A")</f>
        <v>N/A</v>
      </c>
      <c r="BN567" s="282" t="str">
        <f ca="1">IFERROR(FDS(MO.Ticker.FactSet,"P_PRICE_AVG"&amp;"("&amp;INDEX(MO_SNA_FPStartDate,0,COLUMN())&amp;","&amp;INDEX(MO_Common_QEndDate,0,COLUMN())&amp;",,,,""PRICE"",""CLOSE"")"),"N/A")</f>
        <v>N/A</v>
      </c>
      <c r="BO567" s="282" t="str">
        <f ca="1">IFERROR(FDS(MO.Ticker.FactSet,"P_PRICE_AVG"&amp;"("&amp;INDEX(MO_SNA_FPStartDate,0,COLUMN())&amp;","&amp;INDEX(MO_Common_QEndDate,0,COLUMN())&amp;",,,,""PRICE"",""CLOSE"")"),"N/A")</f>
        <v>N/A</v>
      </c>
      <c r="BP567" s="282" t="str">
        <f ca="1">IFERROR(FDS(MO.Ticker.FactSet,"P_PRICE_AVG"&amp;"("&amp;INDEX(MO_SNA_FPStartDate,0,COLUMN())&amp;","&amp;INDEX(MO_Common_QEndDate,0,COLUMN())&amp;",,,,""PRICE"",""CLOSE"")"),"N/A")</f>
        <v>N/A</v>
      </c>
      <c r="BQ567" s="282" t="str">
        <f ca="1">IFERROR(FDS(MO.Ticker.FactSet,"P_PRICE_AVG"&amp;"("&amp;INDEX(MO_SNA_FPStartDate,0,COLUMN())&amp;","&amp;INDEX(MO_Common_QEndDate,0,COLUMN())&amp;",,,,""PRICE"",""CLOSE"")"),"N/A")</f>
        <v>N/A</v>
      </c>
      <c r="BR567" s="284" t="str">
        <f ca="1">IFERROR(FDS(MO.Ticker.FactSet,"P_PRICE_AVG"&amp;"("&amp;INDEX(MO_SNA_FPStartDate,0,COLUMN())&amp;","&amp;INDEX(MO_Common_QEndDate,0,COLUMN())&amp;",,,,""PRICE"",""CLOSE"")"),"N/A")</f>
        <v>N/A</v>
      </c>
      <c r="BS567" s="323"/>
    </row>
    <row r="568" spans="1:71" s="285" customFormat="1" ht="15" hidden="1" outlineLevel="1">
      <c r="A568" s="286" t="s">
        <v>415</v>
      </c>
      <c r="B568" s="282"/>
      <c r="C568" s="283" t="str">
        <f ca="1">IFERROR(_xll.TR(MO.Ticker.Thomson,"AVG(TR.Priceclose)","sdate:#1 edate:#2",,INDEX(MO_SNA_FPStartDate,0,COLUMN()),INDEX(MO_Common_QEndDate,0,COLUMN())),"N/A")</f>
        <v>N/A</v>
      </c>
      <c r="D568" s="283" t="str">
        <f ca="1">IFERROR(_xll.TR(MO.Ticker.Thomson,"AVG(TR.Priceclose)","sdate:#1 edate:#2",,INDEX(MO_SNA_FPStartDate,0,COLUMN()),INDEX(MO_Common_QEndDate,0,COLUMN())),"N/A")</f>
        <v>N/A</v>
      </c>
      <c r="E568" s="282" t="str">
        <f ca="1">IFERROR(_xll.TR(MO.Ticker.Thomson,"AVG(TR.Priceclose)","sdate:#1 edate:#2",,INDEX(MO_SNA_FPStartDate,0,COLUMN()),INDEX(MO_Common_QEndDate,0,COLUMN())),"N/A")</f>
        <v>N/A</v>
      </c>
      <c r="F568" s="282" t="str">
        <f ca="1">IFERROR(_xll.TR(MO.Ticker.Thomson,"AVG(TR.Priceclose)","sdate:#1 edate:#2",,INDEX(MO_SNA_FPStartDate,0,COLUMN()),INDEX(MO_Common_QEndDate,0,COLUMN())),"N/A")</f>
        <v>N/A</v>
      </c>
      <c r="G568" s="282" t="str">
        <f ca="1">IFERROR(_xll.TR(MO.Ticker.Thomson,"AVG(TR.Priceclose)","sdate:#1 edate:#2",,INDEX(MO_SNA_FPStartDate,0,COLUMN()),INDEX(MO_Common_QEndDate,0,COLUMN())),"N/A")</f>
        <v>N/A</v>
      </c>
      <c r="H568" s="282" t="str">
        <f ca="1">IFERROR(_xll.TR(MO.Ticker.Thomson,"AVG(TR.Priceclose)","sdate:#1 edate:#2",,INDEX(MO_SNA_FPStartDate,0,COLUMN()),INDEX(MO_Common_QEndDate,0,COLUMN())),"N/A")</f>
        <v>N/A</v>
      </c>
      <c r="I568" s="282" t="str">
        <f ca="1">IFERROR(_xll.TR(MO.Ticker.Thomson,"AVG(TR.Priceclose)","sdate:#1 edate:#2",,INDEX(MO_SNA_FPStartDate,0,COLUMN()),INDEX(MO_Common_QEndDate,0,COLUMN())),"N/A")</f>
        <v>N/A</v>
      </c>
      <c r="J568" s="282" t="str">
        <f ca="1">IFERROR(_xll.TR(MO.Ticker.Thomson,"AVG(TR.Priceclose)","sdate:#1 edate:#2",,INDEX(MO_SNA_FPStartDate,0,COLUMN()),INDEX(MO_Common_QEndDate,0,COLUMN())),"N/A")</f>
        <v>N/A</v>
      </c>
      <c r="K568" s="282" t="str">
        <f ca="1">IFERROR(_xll.TR(MO.Ticker.Thomson,"AVG(TR.Priceclose)","sdate:#1 edate:#2",,INDEX(MO_SNA_FPStartDate,0,COLUMN()),INDEX(MO_Common_QEndDate,0,COLUMN())),"N/A")</f>
        <v>N/A</v>
      </c>
      <c r="L568" s="282" t="str">
        <f ca="1">IFERROR(_xll.TR(MO.Ticker.Thomson,"AVG(TR.Priceclose)","sdate:#1 edate:#2",,INDEX(MO_SNA_FPStartDate,0,COLUMN()),INDEX(MO_Common_QEndDate,0,COLUMN())),"N/A")</f>
        <v>N/A</v>
      </c>
      <c r="M568" s="282" t="str">
        <f ca="1">IFERROR(_xll.TR(MO.Ticker.Thomson,"AVG(TR.Priceclose)","sdate:#1 edate:#2",,INDEX(MO_SNA_FPStartDate,0,COLUMN()),INDEX(MO_Common_QEndDate,0,COLUMN())),"N/A")</f>
        <v>N/A</v>
      </c>
      <c r="N568" s="282" t="str">
        <f ca="1">IFERROR(_xll.TR(MO.Ticker.Thomson,"AVG(TR.Priceclose)","sdate:#1 edate:#2",,INDEX(MO_SNA_FPStartDate,0,COLUMN()),INDEX(MO_Common_QEndDate,0,COLUMN())),"N/A")</f>
        <v>N/A</v>
      </c>
      <c r="O568" s="282" t="str">
        <f ca="1">IFERROR(_xll.TR(MO.Ticker.Thomson,"AVG(TR.Priceclose)","sdate:#1 edate:#2",,INDEX(MO_SNA_FPStartDate,0,COLUMN()),INDEX(MO_Common_QEndDate,0,COLUMN())),"N/A")</f>
        <v>N/A</v>
      </c>
      <c r="P568" s="282" t="str">
        <f ca="1">IFERROR(_xll.TR(MO.Ticker.Thomson,"AVG(TR.Priceclose)","sdate:#1 edate:#2",,INDEX(MO_SNA_FPStartDate,0,COLUMN()),INDEX(MO_Common_QEndDate,0,COLUMN())),"N/A")</f>
        <v>N/A</v>
      </c>
      <c r="Q568" s="282" t="str">
        <f ca="1">IFERROR(_xll.TR(MO.Ticker.Thomson,"AVG(TR.Priceclose)","sdate:#1 edate:#2",,INDEX(MO_SNA_FPStartDate,0,COLUMN()),INDEX(MO_Common_QEndDate,0,COLUMN())),"N/A")</f>
        <v>N/A</v>
      </c>
      <c r="R568" s="282" t="str">
        <f ca="1">IFERROR(_xll.TR(MO.Ticker.Thomson,"AVG(TR.Priceclose)","sdate:#1 edate:#2",,INDEX(MO_SNA_FPStartDate,0,COLUMN()),INDEX(MO_Common_QEndDate,0,COLUMN())),"N/A")</f>
        <v>N/A</v>
      </c>
      <c r="S568" s="282" t="str">
        <f ca="1">IFERROR(_xll.TR(MO.Ticker.Thomson,"AVG(TR.Priceclose)","sdate:#1 edate:#2",,INDEX(MO_SNA_FPStartDate,0,COLUMN()),INDEX(MO_Common_QEndDate,0,COLUMN())),"N/A")</f>
        <v>N/A</v>
      </c>
      <c r="T568" s="282" t="str">
        <f ca="1">IFERROR(_xll.TR(MO.Ticker.Thomson,"AVG(TR.Priceclose)","sdate:#1 edate:#2",,INDEX(MO_SNA_FPStartDate,0,COLUMN()),INDEX(MO_Common_QEndDate,0,COLUMN())),"N/A")</f>
        <v>N/A</v>
      </c>
      <c r="U568" s="282" t="str">
        <f ca="1">IFERROR(_xll.TR(MO.Ticker.Thomson,"AVG(TR.Priceclose)","sdate:#1 edate:#2",,INDEX(MO_SNA_FPStartDate,0,COLUMN()),INDEX(MO_Common_QEndDate,0,COLUMN())),"N/A")</f>
        <v>N/A</v>
      </c>
      <c r="V568" s="282" t="str">
        <f ca="1">IFERROR(_xll.TR(MO.Ticker.Thomson,"AVG(TR.Priceclose)","sdate:#1 edate:#2",,INDEX(MO_SNA_FPStartDate,0,COLUMN()),INDEX(MO_Common_QEndDate,0,COLUMN())),"N/A")</f>
        <v>N/A</v>
      </c>
      <c r="W568" s="282" t="str">
        <f ca="1">IFERROR(_xll.TR(MO.Ticker.Thomson,"AVG(TR.Priceclose)","sdate:#1 edate:#2",,INDEX(MO_SNA_FPStartDate,0,COLUMN()),INDEX(MO_Common_QEndDate,0,COLUMN())),"N/A")</f>
        <v>N/A</v>
      </c>
      <c r="X568" s="282" t="str">
        <f ca="1">IFERROR(_xll.TR(MO.Ticker.Thomson,"AVG(TR.Priceclose)","sdate:#1 edate:#2",,INDEX(MO_SNA_FPStartDate,0,COLUMN()),INDEX(MO_Common_QEndDate,0,COLUMN())),"N/A")</f>
        <v>N/A</v>
      </c>
      <c r="Y568" s="282" t="str">
        <f ca="1">IFERROR(_xll.TR(MO.Ticker.Thomson,"AVG(TR.Priceclose)","sdate:#1 edate:#2",,INDEX(MO_SNA_FPStartDate,0,COLUMN()),INDEX(MO_Common_QEndDate,0,COLUMN())),"N/A")</f>
        <v>N/A</v>
      </c>
      <c r="Z568" s="282" t="str">
        <f ca="1">IFERROR(_xll.TR(MO.Ticker.Thomson,"AVG(TR.Priceclose)","sdate:#1 edate:#2",,INDEX(MO_SNA_FPStartDate,0,COLUMN()),INDEX(MO_Common_QEndDate,0,COLUMN())),"N/A")</f>
        <v>N/A</v>
      </c>
      <c r="AA568" s="282" t="str">
        <f ca="1">IFERROR(_xll.TR(MO.Ticker.Thomson,"AVG(TR.Priceclose)","sdate:#1 edate:#2",,INDEX(MO_SNA_FPStartDate,0,COLUMN()),INDEX(MO_Common_QEndDate,0,COLUMN())),"N/A")</f>
        <v>N/A</v>
      </c>
      <c r="AB568" s="282" t="str">
        <f ca="1">IFERROR(_xll.TR(MO.Ticker.Thomson,"AVG(TR.Priceclose)","sdate:#1 edate:#2",,INDEX(MO_SNA_FPStartDate,0,COLUMN()),INDEX(MO_Common_QEndDate,0,COLUMN())),"N/A")</f>
        <v>N/A</v>
      </c>
      <c r="AC568" s="282" t="str">
        <f ca="1">IFERROR(_xll.TR(MO.Ticker.Thomson,"AVG(TR.Priceclose)","sdate:#1 edate:#2",,INDEX(MO_SNA_FPStartDate,0,COLUMN()),INDEX(MO_Common_QEndDate,0,COLUMN())),"N/A")</f>
        <v>N/A</v>
      </c>
      <c r="AD568" s="282" t="str">
        <f ca="1">IFERROR(_xll.TR(MO.Ticker.Thomson,"AVG(TR.Priceclose)","sdate:#1 edate:#2",,INDEX(MO_SNA_FPStartDate,0,COLUMN()),INDEX(MO_Common_QEndDate,0,COLUMN())),"N/A")</f>
        <v>N/A</v>
      </c>
      <c r="AE568" s="282" t="str">
        <f ca="1">IFERROR(_xll.TR(MO.Ticker.Thomson,"AVG(TR.Priceclose)","sdate:#1 edate:#2",,INDEX(MO_SNA_FPStartDate,0,COLUMN()),INDEX(MO_Common_QEndDate,0,COLUMN())),"N/A")</f>
        <v>N/A</v>
      </c>
      <c r="AF568" s="282" t="str">
        <f ca="1">IFERROR(_xll.TR(MO.Ticker.Thomson,"AVG(TR.Priceclose)","sdate:#1 edate:#2",,INDEX(MO_SNA_FPStartDate,0,COLUMN()),INDEX(MO_Common_QEndDate,0,COLUMN())),"N/A")</f>
        <v>N/A</v>
      </c>
      <c r="AG568" s="282" t="str">
        <f ca="1">IFERROR(_xll.TR(MO.Ticker.Thomson,"AVG(TR.Priceclose)","sdate:#1 edate:#2",,INDEX(MO_SNA_FPStartDate,0,COLUMN()),INDEX(MO_Common_QEndDate,0,COLUMN())),"N/A")</f>
        <v>N/A</v>
      </c>
      <c r="AH568" s="282" t="str">
        <f ca="1">IFERROR(_xll.TR(MO.Ticker.Thomson,"AVG(TR.Priceclose)","sdate:#1 edate:#2",,INDEX(MO_SNA_FPStartDate,0,COLUMN()),INDEX(MO_Common_QEndDate,0,COLUMN())),"N/A")</f>
        <v>N/A</v>
      </c>
      <c r="AI568" s="282" t="str">
        <f ca="1">IFERROR(_xll.TR(MO.Ticker.Thomson,"AVG(TR.Priceclose)","sdate:#1 edate:#2",,INDEX(MO_SNA_FPStartDate,0,COLUMN()),INDEX(MO_Common_QEndDate,0,COLUMN())),"N/A")</f>
        <v>N/A</v>
      </c>
      <c r="AJ568" s="282" t="str">
        <f ca="1">IFERROR(_xll.TR(MO.Ticker.Thomson,"AVG(TR.Priceclose)","sdate:#1 edate:#2",,INDEX(MO_SNA_FPStartDate,0,COLUMN()),INDEX(MO_Common_QEndDate,0,COLUMN())),"N/A")</f>
        <v>N/A</v>
      </c>
      <c r="AK568" s="282" t="str">
        <f ca="1">IFERROR(_xll.TR(MO.Ticker.Thomson,"AVG(TR.Priceclose)","sdate:#1 edate:#2",,INDEX(MO_SNA_FPStartDate,0,COLUMN()),INDEX(MO_Common_QEndDate,0,COLUMN())),"N/A")</f>
        <v>N/A</v>
      </c>
      <c r="AL568" s="282" t="str">
        <f ca="1">IFERROR(_xll.TR(MO.Ticker.Thomson,"AVG(TR.Priceclose)","sdate:#1 edate:#2",,INDEX(MO_SNA_FPStartDate,0,COLUMN()),INDEX(MO_Common_QEndDate,0,COLUMN())),"N/A")</f>
        <v>N/A</v>
      </c>
      <c r="AM568" s="282" t="str">
        <f ca="1">IFERROR(_xll.TR(MO.Ticker.Thomson,"AVG(TR.Priceclose)","sdate:#1 edate:#2",,INDEX(MO_SNA_FPStartDate,0,COLUMN()),INDEX(MO_Common_QEndDate,0,COLUMN())),"N/A")</f>
        <v>N/A</v>
      </c>
      <c r="AN568" s="282" t="str">
        <f ca="1">IFERROR(_xll.TR(MO.Ticker.Thomson,"AVG(TR.Priceclose)","sdate:#1 edate:#2",,INDEX(MO_SNA_FPStartDate,0,COLUMN()),INDEX(MO_Common_QEndDate,0,COLUMN())),"N/A")</f>
        <v>N/A</v>
      </c>
      <c r="AO568" s="282" t="str">
        <f ca="1">IFERROR(_xll.TR(MO.Ticker.Thomson,"AVG(TR.Priceclose)","sdate:#1 edate:#2",,INDEX(MO_SNA_FPStartDate,0,COLUMN()),INDEX(MO_Common_QEndDate,0,COLUMN())),"N/A")</f>
        <v>N/A</v>
      </c>
      <c r="AP568" s="282" t="str">
        <f ca="1">IFERROR(_xll.TR(MO.Ticker.Thomson,"AVG(TR.Priceclose)","sdate:#1 edate:#2",,INDEX(MO_SNA_FPStartDate,0,COLUMN()),INDEX(MO_Common_QEndDate,0,COLUMN())),"N/A")</f>
        <v>N/A</v>
      </c>
      <c r="AQ568" s="282" t="str">
        <f ca="1">IFERROR(_xll.TR(MO.Ticker.Thomson,"AVG(TR.Priceclose)","sdate:#1 edate:#2",,INDEX(MO_SNA_FPStartDate,0,COLUMN()),INDEX(MO_Common_QEndDate,0,COLUMN())),"N/A")</f>
        <v>N/A</v>
      </c>
      <c r="AR568" s="282" t="str">
        <f ca="1">IFERROR(_xll.TR(MO.Ticker.Thomson,"AVG(TR.Priceclose)","sdate:#1 edate:#2",,INDEX(MO_SNA_FPStartDate,0,COLUMN()),INDEX(MO_Common_QEndDate,0,COLUMN())),"N/A")</f>
        <v>N/A</v>
      </c>
      <c r="AS568" s="282" t="str">
        <f ca="1">IFERROR(_xll.TR(MO.Ticker.Thomson,"AVG(TR.Priceclose)","sdate:#1 edate:#2",,INDEX(MO_SNA_FPStartDate,0,COLUMN()),INDEX(MO_Common_QEndDate,0,COLUMN())),"N/A")</f>
        <v>N/A</v>
      </c>
      <c r="AT568" s="282" t="str">
        <f ca="1">IFERROR(_xll.TR(MO.Ticker.Thomson,"AVG(TR.Priceclose)","sdate:#1 edate:#2",,INDEX(MO_SNA_FPStartDate,0,COLUMN()),INDEX(MO_Common_QEndDate,0,COLUMN())),"N/A")</f>
        <v>N/A</v>
      </c>
      <c r="AU568" s="282" t="str">
        <f ca="1">IFERROR(_xll.TR(MO.Ticker.Thomson,"AVG(TR.Priceclose)","sdate:#1 edate:#2",,INDEX(MO_SNA_FPStartDate,0,COLUMN()),INDEX(MO_Common_QEndDate,0,COLUMN())),"N/A")</f>
        <v>N/A</v>
      </c>
      <c r="AV568" s="282" t="str">
        <f ca="1">IFERROR(_xll.TR(MO.Ticker.Thomson,"AVG(TR.Priceclose)","sdate:#1 edate:#2",,INDEX(MO_SNA_FPStartDate,0,COLUMN()),INDEX(MO_Common_QEndDate,0,COLUMN())),"N/A")</f>
        <v>N/A</v>
      </c>
      <c r="AW568" s="282" t="str">
        <f ca="1">IFERROR(_xll.TR(MO.Ticker.Thomson,"AVG(TR.Priceclose)","sdate:#1 edate:#2",,INDEX(MO_SNA_FPStartDate,0,COLUMN()),INDEX(MO_Common_QEndDate,0,COLUMN())),"N/A")</f>
        <v>N/A</v>
      </c>
      <c r="AX568" s="282" t="str">
        <f ca="1">IFERROR(_xll.TR(MO.Ticker.Thomson,"AVG(TR.Priceclose)","sdate:#1 edate:#2",,INDEX(MO_SNA_FPStartDate,0,COLUMN()),INDEX(MO_Common_QEndDate,0,COLUMN())),"N/A")</f>
        <v>N/A</v>
      </c>
      <c r="AY568" s="282" t="str">
        <f ca="1">IFERROR(_xll.TR(MO.Ticker.Thomson,"AVG(TR.Priceclose)","sdate:#1 edate:#2",,INDEX(MO_SNA_FPStartDate,0,COLUMN()),INDEX(MO_Common_QEndDate,0,COLUMN())),"N/A")</f>
        <v>N/A</v>
      </c>
      <c r="AZ568" s="282" t="str">
        <f ca="1">IFERROR(_xll.TR(MO.Ticker.Thomson,"AVG(TR.Priceclose)","sdate:#1 edate:#2",,INDEX(MO_SNA_FPStartDate,0,COLUMN()),INDEX(MO_Common_QEndDate,0,COLUMN())),"N/A")</f>
        <v>N/A</v>
      </c>
      <c r="BA568" s="282" t="str">
        <f ca="1">IFERROR(_xll.TR(MO.Ticker.Thomson,"AVG(TR.Priceclose)","sdate:#1 edate:#2",,INDEX(MO_SNA_FPStartDate,0,COLUMN()),INDEX(MO_Common_QEndDate,0,COLUMN())),"N/A")</f>
        <v>N/A</v>
      </c>
      <c r="BB568" s="282" t="str">
        <f ca="1">IFERROR(_xll.TR(MO.Ticker.Thomson,"AVG(TR.Priceclose)","sdate:#1 edate:#2",,INDEX(MO_SNA_FPStartDate,0,COLUMN()),INDEX(MO_Common_QEndDate,0,COLUMN())),"N/A")</f>
        <v>N/A</v>
      </c>
      <c r="BC568" s="282" t="str">
        <f ca="1">IFERROR(_xll.TR(MO.Ticker.Thomson,"AVG(TR.Priceclose)","sdate:#1 edate:#2",,INDEX(MO_SNA_FPStartDate,0,COLUMN()),INDEX(MO_Common_QEndDate,0,COLUMN())),"N/A")</f>
        <v>N/A</v>
      </c>
      <c r="BD568" s="282" t="str">
        <f ca="1">IFERROR(_xll.TR(MO.Ticker.Thomson,"AVG(TR.Priceclose)","sdate:#1 edate:#2",,INDEX(MO_SNA_FPStartDate,0,COLUMN()),INDEX(MO_Common_QEndDate,0,COLUMN())),"N/A")</f>
        <v>N/A</v>
      </c>
      <c r="BE568" s="282" t="str">
        <f ca="1">IFERROR(_xll.TR(MO.Ticker.Thomson,"AVG(TR.Priceclose)","sdate:#1 edate:#2",,INDEX(MO_SNA_FPStartDate,0,COLUMN()),INDEX(MO_Common_QEndDate,0,COLUMN())),"N/A")</f>
        <v>N/A</v>
      </c>
      <c r="BF568" s="282" t="str">
        <f ca="1">IFERROR(_xll.TR(MO.Ticker.Thomson,"AVG(TR.Priceclose)","sdate:#1 edate:#2",,INDEX(MO_SNA_FPStartDate,0,COLUMN()),INDEX(MO_Common_QEndDate,0,COLUMN())),"N/A")</f>
        <v>N/A</v>
      </c>
      <c r="BG568" s="282" t="str">
        <f ca="1">IFERROR(_xll.TR(MO.Ticker.Thomson,"AVG(TR.Priceclose)","sdate:#1 edate:#2",,INDEX(MO_SNA_FPStartDate,0,COLUMN()),INDEX(MO_Common_QEndDate,0,COLUMN())),"N/A")</f>
        <v>N/A</v>
      </c>
      <c r="BH568" s="560" t="str">
        <f ca="1">IFERROR(_xll.TR(MO.Ticker.Thomson,"AVG(TR.Priceclose)","sdate:#1 edate:#2",,INDEX(MO_SNA_FPStartDate,0,COLUMN()),INDEX(MO_Common_QEndDate,0,COLUMN())),"N/A")</f>
        <v>N/A</v>
      </c>
      <c r="BI568" s="282" t="str">
        <f ca="1">IFERROR(_xll.TR(MO.Ticker.Thomson,"AVG(TR.Priceclose)","sdate:#1 edate:#2",,INDEX(MO_SNA_FPStartDate,0,COLUMN()),INDEX(MO_Common_QEndDate,0,COLUMN())),"N/A")</f>
        <v>N/A</v>
      </c>
      <c r="BJ568" s="282" t="str">
        <f ca="1">IFERROR(_xll.TR(MO.Ticker.Thomson,"AVG(TR.Priceclose)","sdate:#1 edate:#2",,INDEX(MO_SNA_FPStartDate,0,COLUMN()),INDEX(MO_Common_QEndDate,0,COLUMN())),"N/A")</f>
        <v>N/A</v>
      </c>
      <c r="BK568" s="282" t="str">
        <f ca="1">IFERROR(_xll.TR(MO.Ticker.Thomson,"AVG(TR.Priceclose)","sdate:#1 edate:#2",,INDEX(MO_SNA_FPStartDate,0,COLUMN()),INDEX(MO_Common_QEndDate,0,COLUMN())),"N/A")</f>
        <v>N/A</v>
      </c>
      <c r="BL568" s="282" t="str">
        <f ca="1">IFERROR(_xll.TR(MO.Ticker.Thomson,"AVG(TR.Priceclose)","sdate:#1 edate:#2",,INDEX(MO_SNA_FPStartDate,0,COLUMN()),INDEX(MO_Common_QEndDate,0,COLUMN())),"N/A")</f>
        <v>N/A</v>
      </c>
      <c r="BM568" s="282" t="str">
        <f ca="1">IFERROR(_xll.TR(MO.Ticker.Thomson,"AVG(TR.Priceclose)","sdate:#1 edate:#2",,INDEX(MO_SNA_FPStartDate,0,COLUMN()),INDEX(MO_Common_QEndDate,0,COLUMN())),"N/A")</f>
        <v>N/A</v>
      </c>
      <c r="BN568" s="282" t="str">
        <f ca="1">IFERROR(_xll.TR(MO.Ticker.Thomson,"AVG(TR.Priceclose)","sdate:#1 edate:#2",,INDEX(MO_SNA_FPStartDate,0,COLUMN()),INDEX(MO_Common_QEndDate,0,COLUMN())),"N/A")</f>
        <v>N/A</v>
      </c>
      <c r="BO568" s="282" t="str">
        <f ca="1">IFERROR(_xll.TR(MO.Ticker.Thomson,"AVG(TR.Priceclose)","sdate:#1 edate:#2",,INDEX(MO_SNA_FPStartDate,0,COLUMN()),INDEX(MO_Common_QEndDate,0,COLUMN())),"N/A")</f>
        <v>N/A</v>
      </c>
      <c r="BP568" s="282" t="str">
        <f ca="1">IFERROR(_xll.TR(MO.Ticker.Thomson,"AVG(TR.Priceclose)","sdate:#1 edate:#2",,INDEX(MO_SNA_FPStartDate,0,COLUMN()),INDEX(MO_Common_QEndDate,0,COLUMN())),"N/A")</f>
        <v>N/A</v>
      </c>
      <c r="BQ568" s="282" t="str">
        <f ca="1">IFERROR(_xll.TR(MO.Ticker.Thomson,"AVG(TR.Priceclose)","sdate:#1 edate:#2",,INDEX(MO_SNA_FPStartDate,0,COLUMN()),INDEX(MO_Common_QEndDate,0,COLUMN())),"N/A")</f>
        <v>N/A</v>
      </c>
      <c r="BR568" s="284" t="str">
        <f ca="1">IFERROR(_xll.TR(MO.Ticker.Thomson,"AVG(TR.Priceclose)","sdate:#1 edate:#2",,INDEX(MO_SNA_FPStartDate,0,COLUMN()),INDEX(MO_Common_QEndDate,0,COLUMN())),"N/A")</f>
        <v>N/A</v>
      </c>
      <c r="BS568" s="323"/>
    </row>
    <row r="569" spans="1:71" ht="15" hidden="1" outlineLevel="1">
      <c r="A569" s="221"/>
      <c r="B569" s="814"/>
      <c r="C569" s="274"/>
      <c r="D569" s="274"/>
      <c r="E569" s="814"/>
      <c r="F569" s="814"/>
      <c r="G569" s="814"/>
      <c r="H569" s="814"/>
      <c r="I569" s="814"/>
      <c r="J569" s="814"/>
      <c r="K569" s="814"/>
      <c r="L569" s="814"/>
      <c r="M569" s="814"/>
      <c r="N569" s="814"/>
      <c r="O569" s="814"/>
      <c r="P569" s="245"/>
      <c r="Q569" s="814"/>
      <c r="R569" s="814"/>
      <c r="S569" s="814"/>
      <c r="T569" s="814"/>
      <c r="U569" s="814"/>
      <c r="V569" s="814"/>
      <c r="W569" s="814"/>
      <c r="X569" s="814"/>
      <c r="Y569" s="814"/>
      <c r="Z569" s="814"/>
      <c r="AA569" s="814"/>
      <c r="AB569" s="814"/>
      <c r="AC569" s="814"/>
      <c r="AD569" s="814"/>
      <c r="AE569" s="814"/>
      <c r="AF569" s="814"/>
      <c r="AG569" s="814"/>
      <c r="AH569" s="814"/>
      <c r="AI569" s="814"/>
      <c r="AJ569" s="814"/>
      <c r="AK569" s="814"/>
      <c r="AL569" s="814"/>
      <c r="AM569" s="814"/>
      <c r="AN569" s="814"/>
      <c r="AO569" s="814"/>
      <c r="AP569" s="814"/>
      <c r="AQ569" s="814"/>
      <c r="AR569" s="814"/>
      <c r="AS569" s="814"/>
      <c r="AT569" s="814"/>
      <c r="AU569" s="814"/>
      <c r="AV569" s="814"/>
      <c r="AW569" s="814"/>
      <c r="AX569" s="814"/>
      <c r="AY569" s="814"/>
      <c r="AZ569" s="814"/>
      <c r="BA569" s="814"/>
      <c r="BB569" s="814"/>
      <c r="BC569" s="814"/>
      <c r="BD569" s="814"/>
      <c r="BE569" s="814"/>
      <c r="BF569" s="814"/>
      <c r="BG569" s="814"/>
      <c r="BH569" s="815"/>
      <c r="BI569" s="814"/>
      <c r="BJ569" s="814"/>
      <c r="BK569" s="814"/>
      <c r="BL569" s="814"/>
      <c r="BM569" s="814"/>
      <c r="BN569" s="814"/>
      <c r="BO569" s="814"/>
      <c r="BP569" s="814"/>
      <c r="BQ569" s="814"/>
      <c r="BR569" s="220"/>
      <c r="BS569" s="318"/>
    </row>
    <row r="570" spans="1:71" s="289" customFormat="1" ht="15" collapsed="1">
      <c r="A570" s="287" t="str">
        <f ca="1">"FX Average: "&amp;IF(OR(MO.RealTimeStockPriceToggle=FALSE,VLOOKUP(MO.DataSourceName,MO_SPT_FXAverage_Sources,COLUMN()+2,FALSE)="N/A"),"Real-Time Off Source",MO.DataSourceName)</f>
        <v>FX Average: Real-Time Off Source</v>
      </c>
      <c r="B570" s="583"/>
      <c r="C570" s="582">
        <f ca="1" t="shared" si="1205" ref="C570:AH570">IF(OR(MO.RealTimeStockPriceToggle=FALSE,EXACT(HP.TradeCurrency,MO.ReportCurrency),VLOOKUP(MO.DataSourceName,MO_SPT_FXAverage_Sources,COLUMN(),FALSE)="N/A",MO.ApplyTradeCurrencyScaling),VLOOKUP("Real-Time Off Source",MO_SPT_FXAverage_Sources,COLUMN(),FALSE),VLOOKUP(MO.DataSourceName,MO_SPT_FXAverage_Sources,COLUMN(),FALSE))</f>
        <v>1</v>
      </c>
      <c r="D570" s="582">
        <f t="shared" ca="1" si="1205"/>
        <v>1</v>
      </c>
      <c r="E570" s="583">
        <f t="shared" ca="1" si="1205"/>
        <v>1</v>
      </c>
      <c r="F570" s="583">
        <f t="shared" ca="1" si="1205"/>
        <v>1</v>
      </c>
      <c r="G570" s="583">
        <f t="shared" ca="1" si="1205"/>
        <v>1</v>
      </c>
      <c r="H570" s="583">
        <f t="shared" ca="1" si="1205"/>
        <v>1</v>
      </c>
      <c r="I570" s="583">
        <f t="shared" ca="1" si="1205"/>
        <v>1</v>
      </c>
      <c r="J570" s="583">
        <f t="shared" ca="1" si="1205"/>
        <v>1</v>
      </c>
      <c r="K570" s="583">
        <f t="shared" ca="1" si="1205"/>
        <v>1</v>
      </c>
      <c r="L570" s="583">
        <f t="shared" ca="1" si="1205"/>
        <v>1</v>
      </c>
      <c r="M570" s="583">
        <f t="shared" ca="1" si="1205"/>
        <v>1</v>
      </c>
      <c r="N570" s="583">
        <f t="shared" ca="1" si="1205"/>
        <v>1</v>
      </c>
      <c r="O570" s="583">
        <f t="shared" ca="1" si="1205"/>
        <v>1</v>
      </c>
      <c r="P570" s="583">
        <f t="shared" ca="1" si="1205"/>
        <v>1</v>
      </c>
      <c r="Q570" s="583">
        <f t="shared" ca="1" si="1205"/>
        <v>1</v>
      </c>
      <c r="R570" s="583">
        <f t="shared" ca="1" si="1205"/>
        <v>1</v>
      </c>
      <c r="S570" s="583">
        <f t="shared" ca="1" si="1205"/>
        <v>1</v>
      </c>
      <c r="T570" s="583">
        <f t="shared" ca="1" si="1205"/>
        <v>1</v>
      </c>
      <c r="U570" s="583">
        <f t="shared" ca="1" si="1205"/>
        <v>1</v>
      </c>
      <c r="V570" s="583">
        <f t="shared" ca="1" si="1205"/>
        <v>1</v>
      </c>
      <c r="W570" s="583">
        <f t="shared" ca="1" si="1205"/>
        <v>1</v>
      </c>
      <c r="X570" s="583">
        <f t="shared" ca="1" si="1205"/>
        <v>1</v>
      </c>
      <c r="Y570" s="583">
        <f t="shared" ca="1" si="1205"/>
        <v>1</v>
      </c>
      <c r="Z570" s="583">
        <f t="shared" ca="1" si="1205"/>
        <v>1</v>
      </c>
      <c r="AA570" s="583">
        <f t="shared" ca="1" si="1205"/>
        <v>1</v>
      </c>
      <c r="AB570" s="583">
        <f t="shared" ca="1" si="1205"/>
        <v>1</v>
      </c>
      <c r="AC570" s="583">
        <f t="shared" ca="1" si="1205"/>
        <v>1</v>
      </c>
      <c r="AD570" s="583">
        <f t="shared" ca="1" si="1205"/>
        <v>1</v>
      </c>
      <c r="AE570" s="583">
        <f t="shared" ca="1" si="1205"/>
        <v>1</v>
      </c>
      <c r="AF570" s="583">
        <f t="shared" ca="1" si="1205"/>
        <v>1</v>
      </c>
      <c r="AG570" s="583">
        <f t="shared" ca="1" si="1205"/>
        <v>1</v>
      </c>
      <c r="AH570" s="583">
        <f t="shared" ca="1" si="1205"/>
        <v>1</v>
      </c>
      <c r="AI570" s="583">
        <f ca="1" t="shared" si="1206" ref="AI570:BJ570">IF(OR(MO.RealTimeStockPriceToggle=FALSE,EXACT(HP.TradeCurrency,MO.ReportCurrency),VLOOKUP(MO.DataSourceName,MO_SPT_FXAverage_Sources,COLUMN(),FALSE)="N/A",MO.ApplyTradeCurrencyScaling),VLOOKUP("Real-Time Off Source",MO_SPT_FXAverage_Sources,COLUMN(),FALSE),VLOOKUP(MO.DataSourceName,MO_SPT_FXAverage_Sources,COLUMN(),FALSE))</f>
        <v>1</v>
      </c>
      <c r="AJ570" s="583">
        <f t="shared" ca="1" si="1206"/>
        <v>1</v>
      </c>
      <c r="AK570" s="583">
        <f t="shared" ca="1" si="1206"/>
        <v>1</v>
      </c>
      <c r="AL570" s="583">
        <f t="shared" ca="1" si="1206"/>
        <v>1</v>
      </c>
      <c r="AM570" s="583">
        <f t="shared" ca="1" si="1206"/>
        <v>1</v>
      </c>
      <c r="AN570" s="583">
        <f t="shared" ca="1" si="1206"/>
        <v>1</v>
      </c>
      <c r="AO570" s="583">
        <f t="shared" ca="1" si="1206"/>
        <v>1</v>
      </c>
      <c r="AP570" s="583">
        <f t="shared" ca="1" si="1206"/>
        <v>1</v>
      </c>
      <c r="AQ570" s="583">
        <f t="shared" ca="1" si="1206"/>
        <v>1</v>
      </c>
      <c r="AR570" s="583">
        <f t="shared" ca="1" si="1206"/>
        <v>1</v>
      </c>
      <c r="AS570" s="583">
        <f t="shared" ca="1" si="1206"/>
        <v>1</v>
      </c>
      <c r="AT570" s="583">
        <f t="shared" ca="1" si="1206"/>
        <v>1</v>
      </c>
      <c r="AU570" s="583">
        <f t="shared" ca="1" si="1206"/>
        <v>1</v>
      </c>
      <c r="AV570" s="583">
        <f t="shared" ca="1" si="1206"/>
        <v>1</v>
      </c>
      <c r="AW570" s="583">
        <f t="shared" ca="1" si="1206"/>
        <v>1</v>
      </c>
      <c r="AX570" s="583">
        <f t="shared" ca="1" si="1206"/>
        <v>1</v>
      </c>
      <c r="AY570" s="583">
        <f t="shared" ca="1" si="1206"/>
        <v>1</v>
      </c>
      <c r="AZ570" s="583">
        <f t="shared" ca="1" si="1206"/>
        <v>1</v>
      </c>
      <c r="BA570" s="583">
        <f ca="1" t="shared" si="1207" ref="BA570:BI570">IF(OR(MO.RealTimeStockPriceToggle=FALSE,EXACT(HP.TradeCurrency,MO.ReportCurrency),VLOOKUP(MO.DataSourceName,MO_SPT_FXAverage_Sources,COLUMN(),FALSE)="N/A",MO.ApplyTradeCurrencyScaling),VLOOKUP("Real-Time Off Source",MO_SPT_FXAverage_Sources,COLUMN(),FALSE),VLOOKUP(MO.DataSourceName,MO_SPT_FXAverage_Sources,COLUMN(),FALSE))</f>
        <v>1</v>
      </c>
      <c r="BB570" s="583">
        <f t="shared" ca="1" si="1207"/>
        <v>1</v>
      </c>
      <c r="BC570" s="583">
        <f t="shared" ca="1" si="1207"/>
        <v>1</v>
      </c>
      <c r="BD570" s="583">
        <f t="shared" ca="1" si="1207"/>
        <v>1</v>
      </c>
      <c r="BE570" s="583">
        <f t="shared" ca="1" si="1207"/>
        <v>1</v>
      </c>
      <c r="BF570" s="583">
        <f ca="1">IF(OR(MO.RealTimeStockPriceToggle=FALSE,EXACT(HP.TradeCurrency,MO.ReportCurrency),VLOOKUP(MO.DataSourceName,MO_SPT_FXAverage_Sources,COLUMN(),FALSE)="N/A",MO.ApplyTradeCurrencyScaling),VLOOKUP("Real-Time Off Source",MO_SPT_FXAverage_Sources,COLUMN(),FALSE),VLOOKUP(MO.DataSourceName,MO_SPT_FXAverage_Sources,COLUMN(),FALSE))</f>
        <v>1</v>
      </c>
      <c r="BG570" s="583">
        <f ca="1">IF(OR(MO.RealTimeStockPriceToggle=FALSE,EXACT(HP.TradeCurrency,MO.ReportCurrency),VLOOKUP(MO.DataSourceName,MO_SPT_FXAverage_Sources,COLUMN(),FALSE)="N/A",MO.ApplyTradeCurrencyScaling),VLOOKUP("Real-Time Off Source",MO_SPT_FXAverage_Sources,COLUMN(),FALSE),VLOOKUP(MO.DataSourceName,MO_SPT_FXAverage_Sources,COLUMN(),FALSE))</f>
        <v>1</v>
      </c>
      <c r="BH570" s="584">
        <f ca="1">IF(OR(MO.RealTimeStockPriceToggle=FALSE,EXACT(HP.TradeCurrency,MO.ReportCurrency),VLOOKUP(MO.DataSourceName,MO_SPT_FXAverage_Sources,COLUMN(),FALSE)="N/A",MO.ApplyTradeCurrencyScaling),VLOOKUP("Real-Time Off Source",MO_SPT_FXAverage_Sources,COLUMN(),FALSE),VLOOKUP(MO.DataSourceName,MO_SPT_FXAverage_Sources,COLUMN(),FALSE))</f>
        <v>1</v>
      </c>
      <c r="BI570" s="583">
        <f t="shared" ca="1" si="1207"/>
        <v>1</v>
      </c>
      <c r="BJ570" s="583">
        <f t="shared" ca="1" si="1206"/>
        <v>1</v>
      </c>
      <c r="BK570" s="583">
        <f ca="1" t="shared" si="1208" ref="BK570:BR570">IF(OR(MO.RealTimeStockPriceToggle=FALSE,EXACT(HP.TradeCurrency,MO.ReportCurrency),VLOOKUP(MO.DataSourceName,MO_SPT_FXAverage_Sources,COLUMN(),FALSE)="N/A",MO.ApplyTradeCurrencyScaling),VLOOKUP("Real-Time Off Source",MO_SPT_FXAverage_Sources,COLUMN(),FALSE),VLOOKUP(MO.DataSourceName,MO_SPT_FXAverage_Sources,COLUMN(),FALSE))</f>
        <v>1</v>
      </c>
      <c r="BL570" s="583">
        <f t="shared" ca="1" si="1208"/>
        <v>1</v>
      </c>
      <c r="BM570" s="583">
        <f t="shared" ca="1" si="1208"/>
        <v>1</v>
      </c>
      <c r="BN570" s="583">
        <f t="shared" ca="1" si="1208"/>
        <v>1</v>
      </c>
      <c r="BO570" s="583">
        <f t="shared" ca="1" si="1208"/>
        <v>1</v>
      </c>
      <c r="BP570" s="583">
        <f t="shared" ca="1" si="1208"/>
        <v>1</v>
      </c>
      <c r="BQ570" s="583">
        <f t="shared" ca="1" si="1208"/>
        <v>1</v>
      </c>
      <c r="BR570" s="585">
        <f t="shared" ca="1" si="1208"/>
        <v>1</v>
      </c>
      <c r="BS570" s="324"/>
    </row>
    <row r="571" spans="1:71" s="289" customFormat="1" ht="15" hidden="1" outlineLevel="1">
      <c r="A571" s="290" t="s">
        <v>211</v>
      </c>
      <c r="B571" s="583"/>
      <c r="C571" s="952">
        <v>1</v>
      </c>
      <c r="D571" s="952">
        <v>1</v>
      </c>
      <c r="E571" s="953">
        <v>1</v>
      </c>
      <c r="F571" s="953">
        <v>1</v>
      </c>
      <c r="G571" s="953">
        <v>1</v>
      </c>
      <c r="H571" s="953">
        <v>1</v>
      </c>
      <c r="I571" s="953">
        <v>1</v>
      </c>
      <c r="J571" s="953">
        <v>1</v>
      </c>
      <c r="K571" s="953">
        <v>1</v>
      </c>
      <c r="L571" s="953">
        <v>1</v>
      </c>
      <c r="M571" s="953">
        <v>1</v>
      </c>
      <c r="N571" s="953">
        <v>1</v>
      </c>
      <c r="O571" s="953">
        <v>1</v>
      </c>
      <c r="P571" s="953">
        <v>1</v>
      </c>
      <c r="Q571" s="953">
        <v>1</v>
      </c>
      <c r="R571" s="953">
        <v>1</v>
      </c>
      <c r="S571" s="953">
        <v>1</v>
      </c>
      <c r="T571" s="953">
        <v>1</v>
      </c>
      <c r="U571" s="953">
        <v>1</v>
      </c>
      <c r="V571" s="953">
        <v>1</v>
      </c>
      <c r="W571" s="953">
        <v>1</v>
      </c>
      <c r="X571" s="953">
        <v>1</v>
      </c>
      <c r="Y571" s="953">
        <v>1</v>
      </c>
      <c r="Z571" s="953">
        <v>1</v>
      </c>
      <c r="AA571" s="953">
        <v>1</v>
      </c>
      <c r="AB571" s="953">
        <v>1</v>
      </c>
      <c r="AC571" s="953">
        <v>1</v>
      </c>
      <c r="AD571" s="953">
        <v>1</v>
      </c>
      <c r="AE571" s="953">
        <v>1</v>
      </c>
      <c r="AF571" s="953">
        <v>1</v>
      </c>
      <c r="AG571" s="953">
        <v>1</v>
      </c>
      <c r="AH571" s="953">
        <v>1</v>
      </c>
      <c r="AI571" s="953">
        <v>1</v>
      </c>
      <c r="AJ571" s="953">
        <v>1</v>
      </c>
      <c r="AK571" s="953">
        <v>1</v>
      </c>
      <c r="AL571" s="953">
        <v>1</v>
      </c>
      <c r="AM571" s="953">
        <v>1</v>
      </c>
      <c r="AN571" s="953">
        <v>1</v>
      </c>
      <c r="AO571" s="953">
        <v>1</v>
      </c>
      <c r="AP571" s="953">
        <v>1</v>
      </c>
      <c r="AQ571" s="953">
        <v>1</v>
      </c>
      <c r="AR571" s="953">
        <v>1</v>
      </c>
      <c r="AS571" s="953">
        <v>1</v>
      </c>
      <c r="AT571" s="953">
        <v>1</v>
      </c>
      <c r="AU571" s="953">
        <v>1</v>
      </c>
      <c r="AV571" s="953">
        <v>1</v>
      </c>
      <c r="AW571" s="953">
        <v>1</v>
      </c>
      <c r="AX571" s="953">
        <v>1</v>
      </c>
      <c r="AY571" s="953">
        <v>1</v>
      </c>
      <c r="AZ571" s="953">
        <v>1</v>
      </c>
      <c r="BA571" s="953">
        <v>1</v>
      </c>
      <c r="BB571" s="953">
        <v>1</v>
      </c>
      <c r="BC571" s="953">
        <v>1</v>
      </c>
      <c r="BD571" s="953">
        <v>1</v>
      </c>
      <c r="BE571" s="953">
        <v>1</v>
      </c>
      <c r="BF571" s="953">
        <v>1</v>
      </c>
      <c r="BG571" s="953">
        <v>1</v>
      </c>
      <c r="BH571" s="954">
        <v>1</v>
      </c>
      <c r="BI571" s="583">
        <f t="shared" si="1209" ref="BI571:BR571">MO.MRFX.Hardcoded</f>
        <v>1</v>
      </c>
      <c r="BJ571" s="583">
        <f t="shared" si="1209"/>
        <v>1</v>
      </c>
      <c r="BK571" s="583">
        <f t="shared" si="1209"/>
        <v>1</v>
      </c>
      <c r="BL571" s="583">
        <f t="shared" si="1209"/>
        <v>1</v>
      </c>
      <c r="BM571" s="583">
        <f t="shared" si="1209"/>
        <v>1</v>
      </c>
      <c r="BN571" s="583">
        <f t="shared" si="1209"/>
        <v>1</v>
      </c>
      <c r="BO571" s="583">
        <f t="shared" si="1209"/>
        <v>1</v>
      </c>
      <c r="BP571" s="583">
        <f t="shared" si="1209"/>
        <v>1</v>
      </c>
      <c r="BQ571" s="583">
        <f t="shared" si="1209"/>
        <v>1</v>
      </c>
      <c r="BR571" s="585">
        <f t="shared" si="1209"/>
        <v>1</v>
      </c>
      <c r="BS571" s="324"/>
    </row>
    <row r="572" spans="1:71" s="289" customFormat="1" ht="15" hidden="1" outlineLevel="1">
      <c r="A572" s="290" t="s">
        <v>7</v>
      </c>
      <c r="B572" s="583"/>
      <c r="C572" s="582"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D572" s="582"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E572" s="58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F572" s="58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G572" s="58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H572" s="58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I572" s="58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J572" s="58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K572" s="58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L572" s="58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M572" s="58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N572" s="58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O572" s="58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P572" s="58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Q572" s="58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R572" s="58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S572" s="58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T572" s="58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U572" s="58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V572" s="58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W572" s="58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X572" s="58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Y572" s="58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Z572" s="58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A572" s="58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B572" s="58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C572" s="58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D572" s="58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E572" s="58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F572" s="58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G572" s="58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H572" s="58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I572" s="58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J572" s="58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K572" s="58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L572" s="58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M572" s="58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N572" s="58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O572" s="58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P572" s="58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Q572" s="58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R572" s="58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S572" s="58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T572" s="58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U572" s="58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V572" s="58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W572" s="58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X572" s="58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Y572" s="58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Z572" s="58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BA572" s="58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BB572" s="58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BC572" s="58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BD572" s="58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BE572" s="58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BF572" s="58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BG572" s="58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BH572" s="584"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BI572" s="58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BJ572" s="58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BK572" s="58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BL572" s="58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BM572" s="58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BN572" s="58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BO572" s="58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BP572" s="58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BQ572" s="58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BR572" s="585"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BS572" s="324"/>
    </row>
    <row r="573" spans="1:71" s="289" customFormat="1" ht="15" hidden="1" outlineLevel="1">
      <c r="A573" s="290" t="s">
        <v>212</v>
      </c>
      <c r="B573" s="583"/>
      <c r="C573" s="582" t="str">
        <f ca="1">IFERROR(IF(INDEX(MO_Common_QEndDate,0,COLUMN())&gt;TODAY(),CIQ("$"&amp;HP.TradeCurrency&amp;MO.ReportCurrency,"IQ_LASTSALEPRICE"),CIQAVG("$"&amp;HP.TradeCurrency&amp;MO.ReportCurrency,"IQ_LASTSALEPRICE",INDEX(MO_SNA_FPStartDate,0,COLUMN()),INDEX(MO_Common_QEndDate,0,COLUMN()))),"N/A")</f>
        <v>N/A</v>
      </c>
      <c r="D573" s="582" t="str">
        <f ca="1">IFERROR(IF(INDEX(MO_Common_QEndDate,0,COLUMN())&gt;TODAY(),CIQ("$"&amp;HP.TradeCurrency&amp;MO.ReportCurrency,"IQ_LASTSALEPRICE"),CIQAVG("$"&amp;HP.TradeCurrency&amp;MO.ReportCurrency,"IQ_LASTSALEPRICE",INDEX(MO_SNA_FPStartDate,0,COLUMN()),INDEX(MO_Common_QEndDate,0,COLUMN()))),"N/A")</f>
        <v>N/A</v>
      </c>
      <c r="E573" s="583" t="str">
        <f ca="1">IFERROR(IF(INDEX(MO_Common_QEndDate,0,COLUMN())&gt;TODAY(),CIQ("$"&amp;HP.TradeCurrency&amp;MO.ReportCurrency,"IQ_LASTSALEPRICE"),CIQAVG("$"&amp;HP.TradeCurrency&amp;MO.ReportCurrency,"IQ_LASTSALEPRICE",INDEX(MO_SNA_FPStartDate,0,COLUMN()),INDEX(MO_Common_QEndDate,0,COLUMN()))),"N/A")</f>
        <v>N/A</v>
      </c>
      <c r="F573" s="583" t="str">
        <f ca="1">IFERROR(IF(INDEX(MO_Common_QEndDate,0,COLUMN())&gt;TODAY(),CIQ("$"&amp;HP.TradeCurrency&amp;MO.ReportCurrency,"IQ_LASTSALEPRICE"),CIQAVG("$"&amp;HP.TradeCurrency&amp;MO.ReportCurrency,"IQ_LASTSALEPRICE",INDEX(MO_SNA_FPStartDate,0,COLUMN()),INDEX(MO_Common_QEndDate,0,COLUMN()))),"N/A")</f>
        <v>N/A</v>
      </c>
      <c r="G573" s="583" t="str">
        <f ca="1">IFERROR(IF(INDEX(MO_Common_QEndDate,0,COLUMN())&gt;TODAY(),CIQ("$"&amp;HP.TradeCurrency&amp;MO.ReportCurrency,"IQ_LASTSALEPRICE"),CIQAVG("$"&amp;HP.TradeCurrency&amp;MO.ReportCurrency,"IQ_LASTSALEPRICE",INDEX(MO_SNA_FPStartDate,0,COLUMN()),INDEX(MO_Common_QEndDate,0,COLUMN()))),"N/A")</f>
        <v>N/A</v>
      </c>
      <c r="H573" s="583" t="str">
        <f ca="1">IFERROR(IF(INDEX(MO_Common_QEndDate,0,COLUMN())&gt;TODAY(),CIQ("$"&amp;HP.TradeCurrency&amp;MO.ReportCurrency,"IQ_LASTSALEPRICE"),CIQAVG("$"&amp;HP.TradeCurrency&amp;MO.ReportCurrency,"IQ_LASTSALEPRICE",INDEX(MO_SNA_FPStartDate,0,COLUMN()),INDEX(MO_Common_QEndDate,0,COLUMN()))),"N/A")</f>
        <v>N/A</v>
      </c>
      <c r="I573" s="583" t="str">
        <f ca="1">IFERROR(IF(INDEX(MO_Common_QEndDate,0,COLUMN())&gt;TODAY(),CIQ("$"&amp;HP.TradeCurrency&amp;MO.ReportCurrency,"IQ_LASTSALEPRICE"),CIQAVG("$"&amp;HP.TradeCurrency&amp;MO.ReportCurrency,"IQ_LASTSALEPRICE",INDEX(MO_SNA_FPStartDate,0,COLUMN()),INDEX(MO_Common_QEndDate,0,COLUMN()))),"N/A")</f>
        <v>N/A</v>
      </c>
      <c r="J573" s="583" t="str">
        <f ca="1">IFERROR(IF(INDEX(MO_Common_QEndDate,0,COLUMN())&gt;TODAY(),CIQ("$"&amp;HP.TradeCurrency&amp;MO.ReportCurrency,"IQ_LASTSALEPRICE"),CIQAVG("$"&amp;HP.TradeCurrency&amp;MO.ReportCurrency,"IQ_LASTSALEPRICE",INDEX(MO_SNA_FPStartDate,0,COLUMN()),INDEX(MO_Common_QEndDate,0,COLUMN()))),"N/A")</f>
        <v>N/A</v>
      </c>
      <c r="K573" s="583" t="str">
        <f ca="1">IFERROR(IF(INDEX(MO_Common_QEndDate,0,COLUMN())&gt;TODAY(),CIQ("$"&amp;HP.TradeCurrency&amp;MO.ReportCurrency,"IQ_LASTSALEPRICE"),CIQAVG("$"&amp;HP.TradeCurrency&amp;MO.ReportCurrency,"IQ_LASTSALEPRICE",INDEX(MO_SNA_FPStartDate,0,COLUMN()),INDEX(MO_Common_QEndDate,0,COLUMN()))),"N/A")</f>
        <v>N/A</v>
      </c>
      <c r="L573" s="583" t="str">
        <f ca="1">IFERROR(IF(INDEX(MO_Common_QEndDate,0,COLUMN())&gt;TODAY(),CIQ("$"&amp;HP.TradeCurrency&amp;MO.ReportCurrency,"IQ_LASTSALEPRICE"),CIQAVG("$"&amp;HP.TradeCurrency&amp;MO.ReportCurrency,"IQ_LASTSALEPRICE",INDEX(MO_SNA_FPStartDate,0,COLUMN()),INDEX(MO_Common_QEndDate,0,COLUMN()))),"N/A")</f>
        <v>N/A</v>
      </c>
      <c r="M573" s="583" t="str">
        <f ca="1">IFERROR(IF(INDEX(MO_Common_QEndDate,0,COLUMN())&gt;TODAY(),CIQ("$"&amp;HP.TradeCurrency&amp;MO.ReportCurrency,"IQ_LASTSALEPRICE"),CIQAVG("$"&amp;HP.TradeCurrency&amp;MO.ReportCurrency,"IQ_LASTSALEPRICE",INDEX(MO_SNA_FPStartDate,0,COLUMN()),INDEX(MO_Common_QEndDate,0,COLUMN()))),"N/A")</f>
        <v>N/A</v>
      </c>
      <c r="N573" s="583" t="str">
        <f ca="1">IFERROR(IF(INDEX(MO_Common_QEndDate,0,COLUMN())&gt;TODAY(),CIQ("$"&amp;HP.TradeCurrency&amp;MO.ReportCurrency,"IQ_LASTSALEPRICE"),CIQAVG("$"&amp;HP.TradeCurrency&amp;MO.ReportCurrency,"IQ_LASTSALEPRICE",INDEX(MO_SNA_FPStartDate,0,COLUMN()),INDEX(MO_Common_QEndDate,0,COLUMN()))),"N/A")</f>
        <v>N/A</v>
      </c>
      <c r="O573" s="583" t="str">
        <f ca="1">IFERROR(IF(INDEX(MO_Common_QEndDate,0,COLUMN())&gt;TODAY(),CIQ("$"&amp;HP.TradeCurrency&amp;MO.ReportCurrency,"IQ_LASTSALEPRICE"),CIQAVG("$"&amp;HP.TradeCurrency&amp;MO.ReportCurrency,"IQ_LASTSALEPRICE",INDEX(MO_SNA_FPStartDate,0,COLUMN()),INDEX(MO_Common_QEndDate,0,COLUMN()))),"N/A")</f>
        <v>N/A</v>
      </c>
      <c r="P573" s="583" t="str">
        <f ca="1">IFERROR(IF(INDEX(MO_Common_QEndDate,0,COLUMN())&gt;TODAY(),CIQ("$"&amp;HP.TradeCurrency&amp;MO.ReportCurrency,"IQ_LASTSALEPRICE"),CIQAVG("$"&amp;HP.TradeCurrency&amp;MO.ReportCurrency,"IQ_LASTSALEPRICE",INDEX(MO_SNA_FPStartDate,0,COLUMN()),INDEX(MO_Common_QEndDate,0,COLUMN()))),"N/A")</f>
        <v>N/A</v>
      </c>
      <c r="Q573" s="583" t="str">
        <f ca="1">IFERROR(IF(INDEX(MO_Common_QEndDate,0,COLUMN())&gt;TODAY(),CIQ("$"&amp;HP.TradeCurrency&amp;MO.ReportCurrency,"IQ_LASTSALEPRICE"),CIQAVG("$"&amp;HP.TradeCurrency&amp;MO.ReportCurrency,"IQ_LASTSALEPRICE",INDEX(MO_SNA_FPStartDate,0,COLUMN()),INDEX(MO_Common_QEndDate,0,COLUMN()))),"N/A")</f>
        <v>N/A</v>
      </c>
      <c r="R573" s="583" t="str">
        <f ca="1">IFERROR(IF(INDEX(MO_Common_QEndDate,0,COLUMN())&gt;TODAY(),CIQ("$"&amp;HP.TradeCurrency&amp;MO.ReportCurrency,"IQ_LASTSALEPRICE"),CIQAVG("$"&amp;HP.TradeCurrency&amp;MO.ReportCurrency,"IQ_LASTSALEPRICE",INDEX(MO_SNA_FPStartDate,0,COLUMN()),INDEX(MO_Common_QEndDate,0,COLUMN()))),"N/A")</f>
        <v>N/A</v>
      </c>
      <c r="S573" s="583" t="str">
        <f ca="1">IFERROR(IF(INDEX(MO_Common_QEndDate,0,COLUMN())&gt;TODAY(),CIQ("$"&amp;HP.TradeCurrency&amp;MO.ReportCurrency,"IQ_LASTSALEPRICE"),CIQAVG("$"&amp;HP.TradeCurrency&amp;MO.ReportCurrency,"IQ_LASTSALEPRICE",INDEX(MO_SNA_FPStartDate,0,COLUMN()),INDEX(MO_Common_QEndDate,0,COLUMN()))),"N/A")</f>
        <v>N/A</v>
      </c>
      <c r="T573" s="583" t="str">
        <f ca="1">IFERROR(IF(INDEX(MO_Common_QEndDate,0,COLUMN())&gt;TODAY(),CIQ("$"&amp;HP.TradeCurrency&amp;MO.ReportCurrency,"IQ_LASTSALEPRICE"),CIQAVG("$"&amp;HP.TradeCurrency&amp;MO.ReportCurrency,"IQ_LASTSALEPRICE",INDEX(MO_SNA_FPStartDate,0,COLUMN()),INDEX(MO_Common_QEndDate,0,COLUMN()))),"N/A")</f>
        <v>N/A</v>
      </c>
      <c r="U573" s="583" t="str">
        <f ca="1">IFERROR(IF(INDEX(MO_Common_QEndDate,0,COLUMN())&gt;TODAY(),CIQ("$"&amp;HP.TradeCurrency&amp;MO.ReportCurrency,"IQ_LASTSALEPRICE"),CIQAVG("$"&amp;HP.TradeCurrency&amp;MO.ReportCurrency,"IQ_LASTSALEPRICE",INDEX(MO_SNA_FPStartDate,0,COLUMN()),INDEX(MO_Common_QEndDate,0,COLUMN()))),"N/A")</f>
        <v>N/A</v>
      </c>
      <c r="V573" s="583" t="str">
        <f ca="1">IFERROR(IF(INDEX(MO_Common_QEndDate,0,COLUMN())&gt;TODAY(),CIQ("$"&amp;HP.TradeCurrency&amp;MO.ReportCurrency,"IQ_LASTSALEPRICE"),CIQAVG("$"&amp;HP.TradeCurrency&amp;MO.ReportCurrency,"IQ_LASTSALEPRICE",INDEX(MO_SNA_FPStartDate,0,COLUMN()),INDEX(MO_Common_QEndDate,0,COLUMN()))),"N/A")</f>
        <v>N/A</v>
      </c>
      <c r="W573" s="583" t="str">
        <f ca="1">IFERROR(IF(INDEX(MO_Common_QEndDate,0,COLUMN())&gt;TODAY(),CIQ("$"&amp;HP.TradeCurrency&amp;MO.ReportCurrency,"IQ_LASTSALEPRICE"),CIQAVG("$"&amp;HP.TradeCurrency&amp;MO.ReportCurrency,"IQ_LASTSALEPRICE",INDEX(MO_SNA_FPStartDate,0,COLUMN()),INDEX(MO_Common_QEndDate,0,COLUMN()))),"N/A")</f>
        <v>N/A</v>
      </c>
      <c r="X573" s="583" t="str">
        <f ca="1">IFERROR(IF(INDEX(MO_Common_QEndDate,0,COLUMN())&gt;TODAY(),CIQ("$"&amp;HP.TradeCurrency&amp;MO.ReportCurrency,"IQ_LASTSALEPRICE"),CIQAVG("$"&amp;HP.TradeCurrency&amp;MO.ReportCurrency,"IQ_LASTSALEPRICE",INDEX(MO_SNA_FPStartDate,0,COLUMN()),INDEX(MO_Common_QEndDate,0,COLUMN()))),"N/A")</f>
        <v>N/A</v>
      </c>
      <c r="Y573" s="583" t="str">
        <f ca="1">IFERROR(IF(INDEX(MO_Common_QEndDate,0,COLUMN())&gt;TODAY(),CIQ("$"&amp;HP.TradeCurrency&amp;MO.ReportCurrency,"IQ_LASTSALEPRICE"),CIQAVG("$"&amp;HP.TradeCurrency&amp;MO.ReportCurrency,"IQ_LASTSALEPRICE",INDEX(MO_SNA_FPStartDate,0,COLUMN()),INDEX(MO_Common_QEndDate,0,COLUMN()))),"N/A")</f>
        <v>N/A</v>
      </c>
      <c r="Z573" s="583" t="str">
        <f ca="1">IFERROR(IF(INDEX(MO_Common_QEndDate,0,COLUMN())&gt;TODAY(),CIQ("$"&amp;HP.TradeCurrency&amp;MO.ReportCurrency,"IQ_LASTSALEPRICE"),CIQAVG("$"&amp;HP.TradeCurrency&amp;MO.ReportCurrency,"IQ_LASTSALEPRICE",INDEX(MO_SNA_FPStartDate,0,COLUMN()),INDEX(MO_Common_QEndDate,0,COLUMN()))),"N/A")</f>
        <v>N/A</v>
      </c>
      <c r="AA573" s="583" t="str">
        <f ca="1">IFERROR(IF(INDEX(MO_Common_QEndDate,0,COLUMN())&gt;TODAY(),CIQ("$"&amp;HP.TradeCurrency&amp;MO.ReportCurrency,"IQ_LASTSALEPRICE"),CIQAVG("$"&amp;HP.TradeCurrency&amp;MO.ReportCurrency,"IQ_LASTSALEPRICE",INDEX(MO_SNA_FPStartDate,0,COLUMN()),INDEX(MO_Common_QEndDate,0,COLUMN()))),"N/A")</f>
        <v>N/A</v>
      </c>
      <c r="AB573" s="583" t="str">
        <f ca="1">IFERROR(IF(INDEX(MO_Common_QEndDate,0,COLUMN())&gt;TODAY(),CIQ("$"&amp;HP.TradeCurrency&amp;MO.ReportCurrency,"IQ_LASTSALEPRICE"),CIQAVG("$"&amp;HP.TradeCurrency&amp;MO.ReportCurrency,"IQ_LASTSALEPRICE",INDEX(MO_SNA_FPStartDate,0,COLUMN()),INDEX(MO_Common_QEndDate,0,COLUMN()))),"N/A")</f>
        <v>N/A</v>
      </c>
      <c r="AC573" s="583" t="str">
        <f ca="1">IFERROR(IF(INDEX(MO_Common_QEndDate,0,COLUMN())&gt;TODAY(),CIQ("$"&amp;HP.TradeCurrency&amp;MO.ReportCurrency,"IQ_LASTSALEPRICE"),CIQAVG("$"&amp;HP.TradeCurrency&amp;MO.ReportCurrency,"IQ_LASTSALEPRICE",INDEX(MO_SNA_FPStartDate,0,COLUMN()),INDEX(MO_Common_QEndDate,0,COLUMN()))),"N/A")</f>
        <v>N/A</v>
      </c>
      <c r="AD573" s="583" t="str">
        <f ca="1">IFERROR(IF(INDEX(MO_Common_QEndDate,0,COLUMN())&gt;TODAY(),CIQ("$"&amp;HP.TradeCurrency&amp;MO.ReportCurrency,"IQ_LASTSALEPRICE"),CIQAVG("$"&amp;HP.TradeCurrency&amp;MO.ReportCurrency,"IQ_LASTSALEPRICE",INDEX(MO_SNA_FPStartDate,0,COLUMN()),INDEX(MO_Common_QEndDate,0,COLUMN()))),"N/A")</f>
        <v>N/A</v>
      </c>
      <c r="AE573" s="583" t="str">
        <f ca="1">IFERROR(IF(INDEX(MO_Common_QEndDate,0,COLUMN())&gt;TODAY(),CIQ("$"&amp;HP.TradeCurrency&amp;MO.ReportCurrency,"IQ_LASTSALEPRICE"),CIQAVG("$"&amp;HP.TradeCurrency&amp;MO.ReportCurrency,"IQ_LASTSALEPRICE",INDEX(MO_SNA_FPStartDate,0,COLUMN()),INDEX(MO_Common_QEndDate,0,COLUMN()))),"N/A")</f>
        <v>N/A</v>
      </c>
      <c r="AF573" s="583" t="str">
        <f ca="1">IFERROR(IF(INDEX(MO_Common_QEndDate,0,COLUMN())&gt;TODAY(),CIQ("$"&amp;HP.TradeCurrency&amp;MO.ReportCurrency,"IQ_LASTSALEPRICE"),CIQAVG("$"&amp;HP.TradeCurrency&amp;MO.ReportCurrency,"IQ_LASTSALEPRICE",INDEX(MO_SNA_FPStartDate,0,COLUMN()),INDEX(MO_Common_QEndDate,0,COLUMN()))),"N/A")</f>
        <v>N/A</v>
      </c>
      <c r="AG573" s="583" t="str">
        <f ca="1">IFERROR(IF(INDEX(MO_Common_QEndDate,0,COLUMN())&gt;TODAY(),CIQ("$"&amp;HP.TradeCurrency&amp;MO.ReportCurrency,"IQ_LASTSALEPRICE"),CIQAVG("$"&amp;HP.TradeCurrency&amp;MO.ReportCurrency,"IQ_LASTSALEPRICE",INDEX(MO_SNA_FPStartDate,0,COLUMN()),INDEX(MO_Common_QEndDate,0,COLUMN()))),"N/A")</f>
        <v>N/A</v>
      </c>
      <c r="AH573" s="583" t="str">
        <f ca="1">IFERROR(IF(INDEX(MO_Common_QEndDate,0,COLUMN())&gt;TODAY(),CIQ("$"&amp;HP.TradeCurrency&amp;MO.ReportCurrency,"IQ_LASTSALEPRICE"),CIQAVG("$"&amp;HP.TradeCurrency&amp;MO.ReportCurrency,"IQ_LASTSALEPRICE",INDEX(MO_SNA_FPStartDate,0,COLUMN()),INDEX(MO_Common_QEndDate,0,COLUMN()))),"N/A")</f>
        <v>N/A</v>
      </c>
      <c r="AI573" s="583" t="str">
        <f ca="1">IFERROR(IF(INDEX(MO_Common_QEndDate,0,COLUMN())&gt;TODAY(),CIQ("$"&amp;HP.TradeCurrency&amp;MO.ReportCurrency,"IQ_LASTSALEPRICE"),CIQAVG("$"&amp;HP.TradeCurrency&amp;MO.ReportCurrency,"IQ_LASTSALEPRICE",INDEX(MO_SNA_FPStartDate,0,COLUMN()),INDEX(MO_Common_QEndDate,0,COLUMN()))),"N/A")</f>
        <v>N/A</v>
      </c>
      <c r="AJ573" s="583" t="str">
        <f ca="1">IFERROR(IF(INDEX(MO_Common_QEndDate,0,COLUMN())&gt;TODAY(),CIQ("$"&amp;HP.TradeCurrency&amp;MO.ReportCurrency,"IQ_LASTSALEPRICE"),CIQAVG("$"&amp;HP.TradeCurrency&amp;MO.ReportCurrency,"IQ_LASTSALEPRICE",INDEX(MO_SNA_FPStartDate,0,COLUMN()),INDEX(MO_Common_QEndDate,0,COLUMN()))),"N/A")</f>
        <v>N/A</v>
      </c>
      <c r="AK573" s="583" t="str">
        <f ca="1">IFERROR(IF(INDEX(MO_Common_QEndDate,0,COLUMN())&gt;TODAY(),CIQ("$"&amp;HP.TradeCurrency&amp;MO.ReportCurrency,"IQ_LASTSALEPRICE"),CIQAVG("$"&amp;HP.TradeCurrency&amp;MO.ReportCurrency,"IQ_LASTSALEPRICE",INDEX(MO_SNA_FPStartDate,0,COLUMN()),INDEX(MO_Common_QEndDate,0,COLUMN()))),"N/A")</f>
        <v>N/A</v>
      </c>
      <c r="AL573" s="583" t="str">
        <f ca="1">IFERROR(IF(INDEX(MO_Common_QEndDate,0,COLUMN())&gt;TODAY(),CIQ("$"&amp;HP.TradeCurrency&amp;MO.ReportCurrency,"IQ_LASTSALEPRICE"),CIQAVG("$"&amp;HP.TradeCurrency&amp;MO.ReportCurrency,"IQ_LASTSALEPRICE",INDEX(MO_SNA_FPStartDate,0,COLUMN()),INDEX(MO_Common_QEndDate,0,COLUMN()))),"N/A")</f>
        <v>N/A</v>
      </c>
      <c r="AM573" s="583" t="str">
        <f ca="1">IFERROR(IF(INDEX(MO_Common_QEndDate,0,COLUMN())&gt;TODAY(),CIQ("$"&amp;HP.TradeCurrency&amp;MO.ReportCurrency,"IQ_LASTSALEPRICE"),CIQAVG("$"&amp;HP.TradeCurrency&amp;MO.ReportCurrency,"IQ_LASTSALEPRICE",INDEX(MO_SNA_FPStartDate,0,COLUMN()),INDEX(MO_Common_QEndDate,0,COLUMN()))),"N/A")</f>
        <v>N/A</v>
      </c>
      <c r="AN573" s="583" t="str">
        <f ca="1">IFERROR(IF(INDEX(MO_Common_QEndDate,0,COLUMN())&gt;TODAY(),CIQ("$"&amp;HP.TradeCurrency&amp;MO.ReportCurrency,"IQ_LASTSALEPRICE"),CIQAVG("$"&amp;HP.TradeCurrency&amp;MO.ReportCurrency,"IQ_LASTSALEPRICE",INDEX(MO_SNA_FPStartDate,0,COLUMN()),INDEX(MO_Common_QEndDate,0,COLUMN()))),"N/A")</f>
        <v>N/A</v>
      </c>
      <c r="AO573" s="583" t="str">
        <f ca="1">IFERROR(IF(INDEX(MO_Common_QEndDate,0,COLUMN())&gt;TODAY(),CIQ("$"&amp;HP.TradeCurrency&amp;MO.ReportCurrency,"IQ_LASTSALEPRICE"),CIQAVG("$"&amp;HP.TradeCurrency&amp;MO.ReportCurrency,"IQ_LASTSALEPRICE",INDEX(MO_SNA_FPStartDate,0,COLUMN()),INDEX(MO_Common_QEndDate,0,COLUMN()))),"N/A")</f>
        <v>N/A</v>
      </c>
      <c r="AP573" s="583" t="str">
        <f ca="1">IFERROR(IF(INDEX(MO_Common_QEndDate,0,COLUMN())&gt;TODAY(),CIQ("$"&amp;HP.TradeCurrency&amp;MO.ReportCurrency,"IQ_LASTSALEPRICE"),CIQAVG("$"&amp;HP.TradeCurrency&amp;MO.ReportCurrency,"IQ_LASTSALEPRICE",INDEX(MO_SNA_FPStartDate,0,COLUMN()),INDEX(MO_Common_QEndDate,0,COLUMN()))),"N/A")</f>
        <v>N/A</v>
      </c>
      <c r="AQ573" s="583" t="str">
        <f ca="1">IFERROR(IF(INDEX(MO_Common_QEndDate,0,COLUMN())&gt;TODAY(),CIQ("$"&amp;HP.TradeCurrency&amp;MO.ReportCurrency,"IQ_LASTSALEPRICE"),CIQAVG("$"&amp;HP.TradeCurrency&amp;MO.ReportCurrency,"IQ_LASTSALEPRICE",INDEX(MO_SNA_FPStartDate,0,COLUMN()),INDEX(MO_Common_QEndDate,0,COLUMN()))),"N/A")</f>
        <v>N/A</v>
      </c>
      <c r="AR573" s="583" t="str">
        <f ca="1">IFERROR(IF(INDEX(MO_Common_QEndDate,0,COLUMN())&gt;TODAY(),CIQ("$"&amp;HP.TradeCurrency&amp;MO.ReportCurrency,"IQ_LASTSALEPRICE"),CIQAVG("$"&amp;HP.TradeCurrency&amp;MO.ReportCurrency,"IQ_LASTSALEPRICE",INDEX(MO_SNA_FPStartDate,0,COLUMN()),INDEX(MO_Common_QEndDate,0,COLUMN()))),"N/A")</f>
        <v>N/A</v>
      </c>
      <c r="AS573" s="583" t="str">
        <f ca="1">IFERROR(IF(INDEX(MO_Common_QEndDate,0,COLUMN())&gt;TODAY(),CIQ("$"&amp;HP.TradeCurrency&amp;MO.ReportCurrency,"IQ_LASTSALEPRICE"),CIQAVG("$"&amp;HP.TradeCurrency&amp;MO.ReportCurrency,"IQ_LASTSALEPRICE",INDEX(MO_SNA_FPStartDate,0,COLUMN()),INDEX(MO_Common_QEndDate,0,COLUMN()))),"N/A")</f>
        <v>N/A</v>
      </c>
      <c r="AT573" s="583" t="str">
        <f ca="1">IFERROR(IF(INDEX(MO_Common_QEndDate,0,COLUMN())&gt;TODAY(),CIQ("$"&amp;HP.TradeCurrency&amp;MO.ReportCurrency,"IQ_LASTSALEPRICE"),CIQAVG("$"&amp;HP.TradeCurrency&amp;MO.ReportCurrency,"IQ_LASTSALEPRICE",INDEX(MO_SNA_FPStartDate,0,COLUMN()),INDEX(MO_Common_QEndDate,0,COLUMN()))),"N/A")</f>
        <v>N/A</v>
      </c>
      <c r="AU573" s="583" t="str">
        <f ca="1">IFERROR(IF(INDEX(MO_Common_QEndDate,0,COLUMN())&gt;TODAY(),CIQ("$"&amp;HP.TradeCurrency&amp;MO.ReportCurrency,"IQ_LASTSALEPRICE"),CIQAVG("$"&amp;HP.TradeCurrency&amp;MO.ReportCurrency,"IQ_LASTSALEPRICE",INDEX(MO_SNA_FPStartDate,0,COLUMN()),INDEX(MO_Common_QEndDate,0,COLUMN()))),"N/A")</f>
        <v>N/A</v>
      </c>
      <c r="AV573" s="583" t="str">
        <f ca="1">IFERROR(IF(INDEX(MO_Common_QEndDate,0,COLUMN())&gt;TODAY(),CIQ("$"&amp;HP.TradeCurrency&amp;MO.ReportCurrency,"IQ_LASTSALEPRICE"),CIQAVG("$"&amp;HP.TradeCurrency&amp;MO.ReportCurrency,"IQ_LASTSALEPRICE",INDEX(MO_SNA_FPStartDate,0,COLUMN()),INDEX(MO_Common_QEndDate,0,COLUMN()))),"N/A")</f>
        <v>N/A</v>
      </c>
      <c r="AW573" s="583" t="str">
        <f ca="1">IFERROR(IF(INDEX(MO_Common_QEndDate,0,COLUMN())&gt;TODAY(),CIQ("$"&amp;HP.TradeCurrency&amp;MO.ReportCurrency,"IQ_LASTSALEPRICE"),CIQAVG("$"&amp;HP.TradeCurrency&amp;MO.ReportCurrency,"IQ_LASTSALEPRICE",INDEX(MO_SNA_FPStartDate,0,COLUMN()),INDEX(MO_Common_QEndDate,0,COLUMN()))),"N/A")</f>
        <v>N/A</v>
      </c>
      <c r="AX573" s="583" t="str">
        <f ca="1">IFERROR(IF(INDEX(MO_Common_QEndDate,0,COLUMN())&gt;TODAY(),CIQ("$"&amp;HP.TradeCurrency&amp;MO.ReportCurrency,"IQ_LASTSALEPRICE"),CIQAVG("$"&amp;HP.TradeCurrency&amp;MO.ReportCurrency,"IQ_LASTSALEPRICE",INDEX(MO_SNA_FPStartDate,0,COLUMN()),INDEX(MO_Common_QEndDate,0,COLUMN()))),"N/A")</f>
        <v>N/A</v>
      </c>
      <c r="AY573" s="583" t="str">
        <f ca="1">IFERROR(IF(INDEX(MO_Common_QEndDate,0,COLUMN())&gt;TODAY(),CIQ("$"&amp;HP.TradeCurrency&amp;MO.ReportCurrency,"IQ_LASTSALEPRICE"),CIQAVG("$"&amp;HP.TradeCurrency&amp;MO.ReportCurrency,"IQ_LASTSALEPRICE",INDEX(MO_SNA_FPStartDate,0,COLUMN()),INDEX(MO_Common_QEndDate,0,COLUMN()))),"N/A")</f>
        <v>N/A</v>
      </c>
      <c r="AZ573" s="583" t="str">
        <f ca="1">IFERROR(IF(INDEX(MO_Common_QEndDate,0,COLUMN())&gt;TODAY(),CIQ("$"&amp;HP.TradeCurrency&amp;MO.ReportCurrency,"IQ_LASTSALEPRICE"),CIQAVG("$"&amp;HP.TradeCurrency&amp;MO.ReportCurrency,"IQ_LASTSALEPRICE",INDEX(MO_SNA_FPStartDate,0,COLUMN()),INDEX(MO_Common_QEndDate,0,COLUMN()))),"N/A")</f>
        <v>N/A</v>
      </c>
      <c r="BA573" s="583" t="str">
        <f ca="1">IFERROR(IF(INDEX(MO_Common_QEndDate,0,COLUMN())&gt;TODAY(),CIQ("$"&amp;HP.TradeCurrency&amp;MO.ReportCurrency,"IQ_LASTSALEPRICE"),CIQAVG("$"&amp;HP.TradeCurrency&amp;MO.ReportCurrency,"IQ_LASTSALEPRICE",INDEX(MO_SNA_FPStartDate,0,COLUMN()),INDEX(MO_Common_QEndDate,0,COLUMN()))),"N/A")</f>
        <v>N/A</v>
      </c>
      <c r="BB573" s="583" t="str">
        <f ca="1">IFERROR(IF(INDEX(MO_Common_QEndDate,0,COLUMN())&gt;TODAY(),CIQ("$"&amp;HP.TradeCurrency&amp;MO.ReportCurrency,"IQ_LASTSALEPRICE"),CIQAVG("$"&amp;HP.TradeCurrency&amp;MO.ReportCurrency,"IQ_LASTSALEPRICE",INDEX(MO_SNA_FPStartDate,0,COLUMN()),INDEX(MO_Common_QEndDate,0,COLUMN()))),"N/A")</f>
        <v>N/A</v>
      </c>
      <c r="BC573" s="583" t="str">
        <f ca="1">IFERROR(IF(INDEX(MO_Common_QEndDate,0,COLUMN())&gt;TODAY(),CIQ("$"&amp;HP.TradeCurrency&amp;MO.ReportCurrency,"IQ_LASTSALEPRICE"),CIQAVG("$"&amp;HP.TradeCurrency&amp;MO.ReportCurrency,"IQ_LASTSALEPRICE",INDEX(MO_SNA_FPStartDate,0,COLUMN()),INDEX(MO_Common_QEndDate,0,COLUMN()))),"N/A")</f>
        <v>N/A</v>
      </c>
      <c r="BD573" s="583" t="str">
        <f ca="1">IFERROR(IF(INDEX(MO_Common_QEndDate,0,COLUMN())&gt;TODAY(),CIQ("$"&amp;HP.TradeCurrency&amp;MO.ReportCurrency,"IQ_LASTSALEPRICE"),CIQAVG("$"&amp;HP.TradeCurrency&amp;MO.ReportCurrency,"IQ_LASTSALEPRICE",INDEX(MO_SNA_FPStartDate,0,COLUMN()),INDEX(MO_Common_QEndDate,0,COLUMN()))),"N/A")</f>
        <v>N/A</v>
      </c>
      <c r="BE573" s="583" t="str">
        <f ca="1">IFERROR(IF(INDEX(MO_Common_QEndDate,0,COLUMN())&gt;TODAY(),CIQ("$"&amp;HP.TradeCurrency&amp;MO.ReportCurrency,"IQ_LASTSALEPRICE"),CIQAVG("$"&amp;HP.TradeCurrency&amp;MO.ReportCurrency,"IQ_LASTSALEPRICE",INDEX(MO_SNA_FPStartDate,0,COLUMN()),INDEX(MO_Common_QEndDate,0,COLUMN()))),"N/A")</f>
        <v>N/A</v>
      </c>
      <c r="BF573" s="583" t="str">
        <f ca="1">IFERROR(IF(INDEX(MO_Common_QEndDate,0,COLUMN())&gt;TODAY(),CIQ("$"&amp;HP.TradeCurrency&amp;MO.ReportCurrency,"IQ_LASTSALEPRICE"),CIQAVG("$"&amp;HP.TradeCurrency&amp;MO.ReportCurrency,"IQ_LASTSALEPRICE",INDEX(MO_SNA_FPStartDate,0,COLUMN()),INDEX(MO_Common_QEndDate,0,COLUMN()))),"N/A")</f>
        <v>N/A</v>
      </c>
      <c r="BG573" s="583" t="str">
        <f ca="1">IFERROR(IF(INDEX(MO_Common_QEndDate,0,COLUMN())&gt;TODAY(),CIQ("$"&amp;HP.TradeCurrency&amp;MO.ReportCurrency,"IQ_LASTSALEPRICE"),CIQAVG("$"&amp;HP.TradeCurrency&amp;MO.ReportCurrency,"IQ_LASTSALEPRICE",INDEX(MO_SNA_FPStartDate,0,COLUMN()),INDEX(MO_Common_QEndDate,0,COLUMN()))),"N/A")</f>
        <v>N/A</v>
      </c>
      <c r="BH573" s="584" t="str">
        <f ca="1">IFERROR(IF(INDEX(MO_Common_QEndDate,0,COLUMN())&gt;TODAY(),CIQ("$"&amp;HP.TradeCurrency&amp;MO.ReportCurrency,"IQ_LASTSALEPRICE"),CIQAVG("$"&amp;HP.TradeCurrency&amp;MO.ReportCurrency,"IQ_LASTSALEPRICE",INDEX(MO_SNA_FPStartDate,0,COLUMN()),INDEX(MO_Common_QEndDate,0,COLUMN()))),"N/A")</f>
        <v>N/A</v>
      </c>
      <c r="BI573" s="583" t="str">
        <f ca="1">IFERROR(IF(INDEX(MO_Common_QEndDate,0,COLUMN())&gt;TODAY(),CIQ("$"&amp;HP.TradeCurrency&amp;MO.ReportCurrency,"IQ_LASTSALEPRICE"),CIQAVG("$"&amp;HP.TradeCurrency&amp;MO.ReportCurrency,"IQ_LASTSALEPRICE",INDEX(MO_SNA_FPStartDate,0,COLUMN()),INDEX(MO_Common_QEndDate,0,COLUMN()))),"N/A")</f>
        <v>N/A</v>
      </c>
      <c r="BJ573" s="583" t="str">
        <f ca="1">IFERROR(IF(INDEX(MO_Common_QEndDate,0,COLUMN())&gt;TODAY(),CIQ("$"&amp;HP.TradeCurrency&amp;MO.ReportCurrency,"IQ_LASTSALEPRICE"),CIQAVG("$"&amp;HP.TradeCurrency&amp;MO.ReportCurrency,"IQ_LASTSALEPRICE",INDEX(MO_SNA_FPStartDate,0,COLUMN()),INDEX(MO_Common_QEndDate,0,COLUMN()))),"N/A")</f>
        <v>N/A</v>
      </c>
      <c r="BK573" s="583" t="str">
        <f ca="1">IFERROR(IF(INDEX(MO_Common_QEndDate,0,COLUMN())&gt;TODAY(),CIQ("$"&amp;HP.TradeCurrency&amp;MO.ReportCurrency,"IQ_LASTSALEPRICE"),CIQAVG("$"&amp;HP.TradeCurrency&amp;MO.ReportCurrency,"IQ_LASTSALEPRICE",INDEX(MO_SNA_FPStartDate,0,COLUMN()),INDEX(MO_Common_QEndDate,0,COLUMN()))),"N/A")</f>
        <v>N/A</v>
      </c>
      <c r="BL573" s="583" t="str">
        <f ca="1">IFERROR(IF(INDEX(MO_Common_QEndDate,0,COLUMN())&gt;TODAY(),CIQ("$"&amp;HP.TradeCurrency&amp;MO.ReportCurrency,"IQ_LASTSALEPRICE"),CIQAVG("$"&amp;HP.TradeCurrency&amp;MO.ReportCurrency,"IQ_LASTSALEPRICE",INDEX(MO_SNA_FPStartDate,0,COLUMN()),INDEX(MO_Common_QEndDate,0,COLUMN()))),"N/A")</f>
        <v>N/A</v>
      </c>
      <c r="BM573" s="583" t="str">
        <f ca="1">IFERROR(IF(INDEX(MO_Common_QEndDate,0,COLUMN())&gt;TODAY(),CIQ("$"&amp;HP.TradeCurrency&amp;MO.ReportCurrency,"IQ_LASTSALEPRICE"),CIQAVG("$"&amp;HP.TradeCurrency&amp;MO.ReportCurrency,"IQ_LASTSALEPRICE",INDEX(MO_SNA_FPStartDate,0,COLUMN()),INDEX(MO_Common_QEndDate,0,COLUMN()))),"N/A")</f>
        <v>N/A</v>
      </c>
      <c r="BN573" s="583" t="str">
        <f ca="1">IFERROR(IF(INDEX(MO_Common_QEndDate,0,COLUMN())&gt;TODAY(),CIQ("$"&amp;HP.TradeCurrency&amp;MO.ReportCurrency,"IQ_LASTSALEPRICE"),CIQAVG("$"&amp;HP.TradeCurrency&amp;MO.ReportCurrency,"IQ_LASTSALEPRICE",INDEX(MO_SNA_FPStartDate,0,COLUMN()),INDEX(MO_Common_QEndDate,0,COLUMN()))),"N/A")</f>
        <v>N/A</v>
      </c>
      <c r="BO573" s="583" t="str">
        <f ca="1">IFERROR(IF(INDEX(MO_Common_QEndDate,0,COLUMN())&gt;TODAY(),CIQ("$"&amp;HP.TradeCurrency&amp;MO.ReportCurrency,"IQ_LASTSALEPRICE"),CIQAVG("$"&amp;HP.TradeCurrency&amp;MO.ReportCurrency,"IQ_LASTSALEPRICE",INDEX(MO_SNA_FPStartDate,0,COLUMN()),INDEX(MO_Common_QEndDate,0,COLUMN()))),"N/A")</f>
        <v>N/A</v>
      </c>
      <c r="BP573" s="583" t="str">
        <f ca="1">IFERROR(IF(INDEX(MO_Common_QEndDate,0,COLUMN())&gt;TODAY(),CIQ("$"&amp;HP.TradeCurrency&amp;MO.ReportCurrency,"IQ_LASTSALEPRICE"),CIQAVG("$"&amp;HP.TradeCurrency&amp;MO.ReportCurrency,"IQ_LASTSALEPRICE",INDEX(MO_SNA_FPStartDate,0,COLUMN()),INDEX(MO_Common_QEndDate,0,COLUMN()))),"N/A")</f>
        <v>N/A</v>
      </c>
      <c r="BQ573" s="583" t="str">
        <f ca="1">IFERROR(IF(INDEX(MO_Common_QEndDate,0,COLUMN())&gt;TODAY(),CIQ("$"&amp;HP.TradeCurrency&amp;MO.ReportCurrency,"IQ_LASTSALEPRICE"),CIQAVG("$"&amp;HP.TradeCurrency&amp;MO.ReportCurrency,"IQ_LASTSALEPRICE",INDEX(MO_SNA_FPStartDate,0,COLUMN()),INDEX(MO_Common_QEndDate,0,COLUMN()))),"N/A")</f>
        <v>N/A</v>
      </c>
      <c r="BR573" s="585" t="str">
        <f ca="1">IFERROR(IF(INDEX(MO_Common_QEndDate,0,COLUMN())&gt;TODAY(),CIQ("$"&amp;HP.TradeCurrency&amp;MO.ReportCurrency,"IQ_LASTSALEPRICE"),CIQAVG("$"&amp;HP.TradeCurrency&amp;MO.ReportCurrency,"IQ_LASTSALEPRICE",INDEX(MO_SNA_FPStartDate,0,COLUMN()),INDEX(MO_Common_QEndDate,0,COLUMN()))),"N/A")</f>
        <v>N/A</v>
      </c>
      <c r="BS573" s="324"/>
    </row>
    <row r="574" spans="1:71" s="289" customFormat="1" ht="15" hidden="1" outlineLevel="1">
      <c r="A574" s="290" t="s">
        <v>213</v>
      </c>
      <c r="B574" s="583"/>
      <c r="C574" s="582" t="str">
        <f ca="1">IFERROR(IF(INDEX(MO_Common_QEndDate,0,COLUMN())&gt;TODAY(),FDS(MO.ReportCurrency&amp;HP.TradeCurrency,"FG_PRICE(NOW)"),FDS(MO.ReportCurrency&amp;HP.TradeCurrency,"P_PRICE_AVG("&amp;INDEX(MO_SNA_FPStartDate,0,COLUMN())&amp;","&amp;INDEX(MO_Common_QEndDate,0,COLUMN())&amp;",,,,0)")),"N/A")</f>
        <v>N/A</v>
      </c>
      <c r="D574" s="582" t="str">
        <f ca="1">IFERROR(IF(INDEX(MO_Common_QEndDate,0,COLUMN())&gt;TODAY(),FDS(MO.ReportCurrency&amp;HP.TradeCurrency,"FG_PRICE(NOW)"),FDS(MO.ReportCurrency&amp;HP.TradeCurrency,"P_PRICE_AVG("&amp;INDEX(MO_SNA_FPStartDate,0,COLUMN())&amp;","&amp;INDEX(MO_Common_QEndDate,0,COLUMN())&amp;",,,,0)")),"N/A")</f>
        <v>N/A</v>
      </c>
      <c r="E574" s="583" t="str">
        <f ca="1">IFERROR(IF(INDEX(MO_Common_QEndDate,0,COLUMN())&gt;TODAY(),FDS(MO.ReportCurrency&amp;HP.TradeCurrency,"FG_PRICE(NOW)"),FDS(MO.ReportCurrency&amp;HP.TradeCurrency,"P_PRICE_AVG("&amp;INDEX(MO_SNA_FPStartDate,0,COLUMN())&amp;","&amp;INDEX(MO_Common_QEndDate,0,COLUMN())&amp;",,,,0)")),"N/A")</f>
        <v>N/A</v>
      </c>
      <c r="F574" s="583" t="str">
        <f ca="1">IFERROR(IF(INDEX(MO_Common_QEndDate,0,COLUMN())&gt;TODAY(),FDS(MO.ReportCurrency&amp;HP.TradeCurrency,"FG_PRICE(NOW)"),FDS(MO.ReportCurrency&amp;HP.TradeCurrency,"P_PRICE_AVG("&amp;INDEX(MO_SNA_FPStartDate,0,COLUMN())&amp;","&amp;INDEX(MO_Common_QEndDate,0,COLUMN())&amp;",,,,0)")),"N/A")</f>
        <v>N/A</v>
      </c>
      <c r="G574" s="583" t="str">
        <f ca="1">IFERROR(IF(INDEX(MO_Common_QEndDate,0,COLUMN())&gt;TODAY(),FDS(MO.ReportCurrency&amp;HP.TradeCurrency,"FG_PRICE(NOW)"),FDS(MO.ReportCurrency&amp;HP.TradeCurrency,"P_PRICE_AVG("&amp;INDEX(MO_SNA_FPStartDate,0,COLUMN())&amp;","&amp;INDEX(MO_Common_QEndDate,0,COLUMN())&amp;",,,,0)")),"N/A")</f>
        <v>N/A</v>
      </c>
      <c r="H574" s="583" t="str">
        <f ca="1">IFERROR(IF(INDEX(MO_Common_QEndDate,0,COLUMN())&gt;TODAY(),FDS(MO.ReportCurrency&amp;HP.TradeCurrency,"FG_PRICE(NOW)"),FDS(MO.ReportCurrency&amp;HP.TradeCurrency,"P_PRICE_AVG("&amp;INDEX(MO_SNA_FPStartDate,0,COLUMN())&amp;","&amp;INDEX(MO_Common_QEndDate,0,COLUMN())&amp;",,,,0)")),"N/A")</f>
        <v>N/A</v>
      </c>
      <c r="I574" s="583" t="str">
        <f ca="1">IFERROR(IF(INDEX(MO_Common_QEndDate,0,COLUMN())&gt;TODAY(),FDS(MO.ReportCurrency&amp;HP.TradeCurrency,"FG_PRICE(NOW)"),FDS(MO.ReportCurrency&amp;HP.TradeCurrency,"P_PRICE_AVG("&amp;INDEX(MO_SNA_FPStartDate,0,COLUMN())&amp;","&amp;INDEX(MO_Common_QEndDate,0,COLUMN())&amp;",,,,0)")),"N/A")</f>
        <v>N/A</v>
      </c>
      <c r="J574" s="583" t="str">
        <f ca="1">IFERROR(IF(INDEX(MO_Common_QEndDate,0,COLUMN())&gt;TODAY(),FDS(MO.ReportCurrency&amp;HP.TradeCurrency,"FG_PRICE(NOW)"),FDS(MO.ReportCurrency&amp;HP.TradeCurrency,"P_PRICE_AVG("&amp;INDEX(MO_SNA_FPStartDate,0,COLUMN())&amp;","&amp;INDEX(MO_Common_QEndDate,0,COLUMN())&amp;",,,,0)")),"N/A")</f>
        <v>N/A</v>
      </c>
      <c r="K574" s="583" t="str">
        <f ca="1">IFERROR(IF(INDEX(MO_Common_QEndDate,0,COLUMN())&gt;TODAY(),FDS(MO.ReportCurrency&amp;HP.TradeCurrency,"FG_PRICE(NOW)"),FDS(MO.ReportCurrency&amp;HP.TradeCurrency,"P_PRICE_AVG("&amp;INDEX(MO_SNA_FPStartDate,0,COLUMN())&amp;","&amp;INDEX(MO_Common_QEndDate,0,COLUMN())&amp;",,,,0)")),"N/A")</f>
        <v>N/A</v>
      </c>
      <c r="L574" s="583" t="str">
        <f ca="1">IFERROR(IF(INDEX(MO_Common_QEndDate,0,COLUMN())&gt;TODAY(),FDS(MO.ReportCurrency&amp;HP.TradeCurrency,"FG_PRICE(NOW)"),FDS(MO.ReportCurrency&amp;HP.TradeCurrency,"P_PRICE_AVG("&amp;INDEX(MO_SNA_FPStartDate,0,COLUMN())&amp;","&amp;INDEX(MO_Common_QEndDate,0,COLUMN())&amp;",,,,0)")),"N/A")</f>
        <v>N/A</v>
      </c>
      <c r="M574" s="583" t="str">
        <f ca="1">IFERROR(IF(INDEX(MO_Common_QEndDate,0,COLUMN())&gt;TODAY(),FDS(MO.ReportCurrency&amp;HP.TradeCurrency,"FG_PRICE(NOW)"),FDS(MO.ReportCurrency&amp;HP.TradeCurrency,"P_PRICE_AVG("&amp;INDEX(MO_SNA_FPStartDate,0,COLUMN())&amp;","&amp;INDEX(MO_Common_QEndDate,0,COLUMN())&amp;",,,,0)")),"N/A")</f>
        <v>N/A</v>
      </c>
      <c r="N574" s="583" t="str">
        <f ca="1">IFERROR(IF(INDEX(MO_Common_QEndDate,0,COLUMN())&gt;TODAY(),FDS(MO.ReportCurrency&amp;HP.TradeCurrency,"FG_PRICE(NOW)"),FDS(MO.ReportCurrency&amp;HP.TradeCurrency,"P_PRICE_AVG("&amp;INDEX(MO_SNA_FPStartDate,0,COLUMN())&amp;","&amp;INDEX(MO_Common_QEndDate,0,COLUMN())&amp;",,,,0)")),"N/A")</f>
        <v>N/A</v>
      </c>
      <c r="O574" s="583" t="str">
        <f ca="1">IFERROR(IF(INDEX(MO_Common_QEndDate,0,COLUMN())&gt;TODAY(),FDS(MO.ReportCurrency&amp;HP.TradeCurrency,"FG_PRICE(NOW)"),FDS(MO.ReportCurrency&amp;HP.TradeCurrency,"P_PRICE_AVG("&amp;INDEX(MO_SNA_FPStartDate,0,COLUMN())&amp;","&amp;INDEX(MO_Common_QEndDate,0,COLUMN())&amp;",,,,0)")),"N/A")</f>
        <v>N/A</v>
      </c>
      <c r="P574" s="583" t="str">
        <f ca="1">IFERROR(IF(INDEX(MO_Common_QEndDate,0,COLUMN())&gt;TODAY(),FDS(MO.ReportCurrency&amp;HP.TradeCurrency,"FG_PRICE(NOW)"),FDS(MO.ReportCurrency&amp;HP.TradeCurrency,"P_PRICE_AVG("&amp;INDEX(MO_SNA_FPStartDate,0,COLUMN())&amp;","&amp;INDEX(MO_Common_QEndDate,0,COLUMN())&amp;",,,,0)")),"N/A")</f>
        <v>N/A</v>
      </c>
      <c r="Q574" s="583" t="str">
        <f ca="1">IFERROR(IF(INDEX(MO_Common_QEndDate,0,COLUMN())&gt;TODAY(),FDS(MO.ReportCurrency&amp;HP.TradeCurrency,"FG_PRICE(NOW)"),FDS(MO.ReportCurrency&amp;HP.TradeCurrency,"P_PRICE_AVG("&amp;INDEX(MO_SNA_FPStartDate,0,COLUMN())&amp;","&amp;INDEX(MO_Common_QEndDate,0,COLUMN())&amp;",,,,0)")),"N/A")</f>
        <v>N/A</v>
      </c>
      <c r="R574" s="583" t="str">
        <f ca="1">IFERROR(IF(INDEX(MO_Common_QEndDate,0,COLUMN())&gt;TODAY(),FDS(MO.ReportCurrency&amp;HP.TradeCurrency,"FG_PRICE(NOW)"),FDS(MO.ReportCurrency&amp;HP.TradeCurrency,"P_PRICE_AVG("&amp;INDEX(MO_SNA_FPStartDate,0,COLUMN())&amp;","&amp;INDEX(MO_Common_QEndDate,0,COLUMN())&amp;",,,,0)")),"N/A")</f>
        <v>N/A</v>
      </c>
      <c r="S574" s="583" t="str">
        <f ca="1">IFERROR(IF(INDEX(MO_Common_QEndDate,0,COLUMN())&gt;TODAY(),FDS(MO.ReportCurrency&amp;HP.TradeCurrency,"FG_PRICE(NOW)"),FDS(MO.ReportCurrency&amp;HP.TradeCurrency,"P_PRICE_AVG("&amp;INDEX(MO_SNA_FPStartDate,0,COLUMN())&amp;","&amp;INDEX(MO_Common_QEndDate,0,COLUMN())&amp;",,,,0)")),"N/A")</f>
        <v>N/A</v>
      </c>
      <c r="T574" s="583" t="str">
        <f ca="1">IFERROR(IF(INDEX(MO_Common_QEndDate,0,COLUMN())&gt;TODAY(),FDS(MO.ReportCurrency&amp;HP.TradeCurrency,"FG_PRICE(NOW)"),FDS(MO.ReportCurrency&amp;HP.TradeCurrency,"P_PRICE_AVG("&amp;INDEX(MO_SNA_FPStartDate,0,COLUMN())&amp;","&amp;INDEX(MO_Common_QEndDate,0,COLUMN())&amp;",,,,0)")),"N/A")</f>
        <v>N/A</v>
      </c>
      <c r="U574" s="583" t="str">
        <f ca="1">IFERROR(IF(INDEX(MO_Common_QEndDate,0,COLUMN())&gt;TODAY(),FDS(MO.ReportCurrency&amp;HP.TradeCurrency,"FG_PRICE(NOW)"),FDS(MO.ReportCurrency&amp;HP.TradeCurrency,"P_PRICE_AVG("&amp;INDEX(MO_SNA_FPStartDate,0,COLUMN())&amp;","&amp;INDEX(MO_Common_QEndDate,0,COLUMN())&amp;",,,,0)")),"N/A")</f>
        <v>N/A</v>
      </c>
      <c r="V574" s="583" t="str">
        <f ca="1">IFERROR(IF(INDEX(MO_Common_QEndDate,0,COLUMN())&gt;TODAY(),FDS(MO.ReportCurrency&amp;HP.TradeCurrency,"FG_PRICE(NOW)"),FDS(MO.ReportCurrency&amp;HP.TradeCurrency,"P_PRICE_AVG("&amp;INDEX(MO_SNA_FPStartDate,0,COLUMN())&amp;","&amp;INDEX(MO_Common_QEndDate,0,COLUMN())&amp;",,,,0)")),"N/A")</f>
        <v>N/A</v>
      </c>
      <c r="W574" s="583" t="str">
        <f ca="1">IFERROR(IF(INDEX(MO_Common_QEndDate,0,COLUMN())&gt;TODAY(),FDS(MO.ReportCurrency&amp;HP.TradeCurrency,"FG_PRICE(NOW)"),FDS(MO.ReportCurrency&amp;HP.TradeCurrency,"P_PRICE_AVG("&amp;INDEX(MO_SNA_FPStartDate,0,COLUMN())&amp;","&amp;INDEX(MO_Common_QEndDate,0,COLUMN())&amp;",,,,0)")),"N/A")</f>
        <v>N/A</v>
      </c>
      <c r="X574" s="583" t="str">
        <f ca="1">IFERROR(IF(INDEX(MO_Common_QEndDate,0,COLUMN())&gt;TODAY(),FDS(MO.ReportCurrency&amp;HP.TradeCurrency,"FG_PRICE(NOW)"),FDS(MO.ReportCurrency&amp;HP.TradeCurrency,"P_PRICE_AVG("&amp;INDEX(MO_SNA_FPStartDate,0,COLUMN())&amp;","&amp;INDEX(MO_Common_QEndDate,0,COLUMN())&amp;",,,,0)")),"N/A")</f>
        <v>N/A</v>
      </c>
      <c r="Y574" s="583" t="str">
        <f ca="1">IFERROR(IF(INDEX(MO_Common_QEndDate,0,COLUMN())&gt;TODAY(),FDS(MO.ReportCurrency&amp;HP.TradeCurrency,"FG_PRICE(NOW)"),FDS(MO.ReportCurrency&amp;HP.TradeCurrency,"P_PRICE_AVG("&amp;INDEX(MO_SNA_FPStartDate,0,COLUMN())&amp;","&amp;INDEX(MO_Common_QEndDate,0,COLUMN())&amp;",,,,0)")),"N/A")</f>
        <v>N/A</v>
      </c>
      <c r="Z574" s="583" t="str">
        <f ca="1">IFERROR(IF(INDEX(MO_Common_QEndDate,0,COLUMN())&gt;TODAY(),FDS(MO.ReportCurrency&amp;HP.TradeCurrency,"FG_PRICE(NOW)"),FDS(MO.ReportCurrency&amp;HP.TradeCurrency,"P_PRICE_AVG("&amp;INDEX(MO_SNA_FPStartDate,0,COLUMN())&amp;","&amp;INDEX(MO_Common_QEndDate,0,COLUMN())&amp;",,,,0)")),"N/A")</f>
        <v>N/A</v>
      </c>
      <c r="AA574" s="583" t="str">
        <f ca="1">IFERROR(IF(INDEX(MO_Common_QEndDate,0,COLUMN())&gt;TODAY(),FDS(MO.ReportCurrency&amp;HP.TradeCurrency,"FG_PRICE(NOW)"),FDS(MO.ReportCurrency&amp;HP.TradeCurrency,"P_PRICE_AVG("&amp;INDEX(MO_SNA_FPStartDate,0,COLUMN())&amp;","&amp;INDEX(MO_Common_QEndDate,0,COLUMN())&amp;",,,,0)")),"N/A")</f>
        <v>N/A</v>
      </c>
      <c r="AB574" s="583" t="str">
        <f ca="1">IFERROR(IF(INDEX(MO_Common_QEndDate,0,COLUMN())&gt;TODAY(),FDS(MO.ReportCurrency&amp;HP.TradeCurrency,"FG_PRICE(NOW)"),FDS(MO.ReportCurrency&amp;HP.TradeCurrency,"P_PRICE_AVG("&amp;INDEX(MO_SNA_FPStartDate,0,COLUMN())&amp;","&amp;INDEX(MO_Common_QEndDate,0,COLUMN())&amp;",,,,0)")),"N/A")</f>
        <v>N/A</v>
      </c>
      <c r="AC574" s="583" t="str">
        <f ca="1">IFERROR(IF(INDEX(MO_Common_QEndDate,0,COLUMN())&gt;TODAY(),FDS(MO.ReportCurrency&amp;HP.TradeCurrency,"FG_PRICE(NOW)"),FDS(MO.ReportCurrency&amp;HP.TradeCurrency,"P_PRICE_AVG("&amp;INDEX(MO_SNA_FPStartDate,0,COLUMN())&amp;","&amp;INDEX(MO_Common_QEndDate,0,COLUMN())&amp;",,,,0)")),"N/A")</f>
        <v>N/A</v>
      </c>
      <c r="AD574" s="583" t="str">
        <f ca="1">IFERROR(IF(INDEX(MO_Common_QEndDate,0,COLUMN())&gt;TODAY(),FDS(MO.ReportCurrency&amp;HP.TradeCurrency,"FG_PRICE(NOW)"),FDS(MO.ReportCurrency&amp;HP.TradeCurrency,"P_PRICE_AVG("&amp;INDEX(MO_SNA_FPStartDate,0,COLUMN())&amp;","&amp;INDEX(MO_Common_QEndDate,0,COLUMN())&amp;",,,,0)")),"N/A")</f>
        <v>N/A</v>
      </c>
      <c r="AE574" s="583" t="str">
        <f ca="1">IFERROR(IF(INDEX(MO_Common_QEndDate,0,COLUMN())&gt;TODAY(),FDS(MO.ReportCurrency&amp;HP.TradeCurrency,"FG_PRICE(NOW)"),FDS(MO.ReportCurrency&amp;HP.TradeCurrency,"P_PRICE_AVG("&amp;INDEX(MO_SNA_FPStartDate,0,COLUMN())&amp;","&amp;INDEX(MO_Common_QEndDate,0,COLUMN())&amp;",,,,0)")),"N/A")</f>
        <v>N/A</v>
      </c>
      <c r="AF574" s="583" t="str">
        <f ca="1">IFERROR(IF(INDEX(MO_Common_QEndDate,0,COLUMN())&gt;TODAY(),FDS(MO.ReportCurrency&amp;HP.TradeCurrency,"FG_PRICE(NOW)"),FDS(MO.ReportCurrency&amp;HP.TradeCurrency,"P_PRICE_AVG("&amp;INDEX(MO_SNA_FPStartDate,0,COLUMN())&amp;","&amp;INDEX(MO_Common_QEndDate,0,COLUMN())&amp;",,,,0)")),"N/A")</f>
        <v>N/A</v>
      </c>
      <c r="AG574" s="583" t="str">
        <f ca="1">IFERROR(IF(INDEX(MO_Common_QEndDate,0,COLUMN())&gt;TODAY(),FDS(MO.ReportCurrency&amp;HP.TradeCurrency,"FG_PRICE(NOW)"),FDS(MO.ReportCurrency&amp;HP.TradeCurrency,"P_PRICE_AVG("&amp;INDEX(MO_SNA_FPStartDate,0,COLUMN())&amp;","&amp;INDEX(MO_Common_QEndDate,0,COLUMN())&amp;",,,,0)")),"N/A")</f>
        <v>N/A</v>
      </c>
      <c r="AH574" s="583" t="str">
        <f ca="1">IFERROR(IF(INDEX(MO_Common_QEndDate,0,COLUMN())&gt;TODAY(),FDS(MO.ReportCurrency&amp;HP.TradeCurrency,"FG_PRICE(NOW)"),FDS(MO.ReportCurrency&amp;HP.TradeCurrency,"P_PRICE_AVG("&amp;INDEX(MO_SNA_FPStartDate,0,COLUMN())&amp;","&amp;INDEX(MO_Common_QEndDate,0,COLUMN())&amp;",,,,0)")),"N/A")</f>
        <v>N/A</v>
      </c>
      <c r="AI574" s="583" t="str">
        <f ca="1">IFERROR(IF(INDEX(MO_Common_QEndDate,0,COLUMN())&gt;TODAY(),FDS(MO.ReportCurrency&amp;HP.TradeCurrency,"FG_PRICE(NOW)"),FDS(MO.ReportCurrency&amp;HP.TradeCurrency,"P_PRICE_AVG("&amp;INDEX(MO_SNA_FPStartDate,0,COLUMN())&amp;","&amp;INDEX(MO_Common_QEndDate,0,COLUMN())&amp;",,,,0)")),"N/A")</f>
        <v>N/A</v>
      </c>
      <c r="AJ574" s="583" t="str">
        <f ca="1">IFERROR(IF(INDEX(MO_Common_QEndDate,0,COLUMN())&gt;TODAY(),FDS(MO.ReportCurrency&amp;HP.TradeCurrency,"FG_PRICE(NOW)"),FDS(MO.ReportCurrency&amp;HP.TradeCurrency,"P_PRICE_AVG("&amp;INDEX(MO_SNA_FPStartDate,0,COLUMN())&amp;","&amp;INDEX(MO_Common_QEndDate,0,COLUMN())&amp;",,,,0)")),"N/A")</f>
        <v>N/A</v>
      </c>
      <c r="AK574" s="583" t="str">
        <f ca="1">IFERROR(IF(INDEX(MO_Common_QEndDate,0,COLUMN())&gt;TODAY(),FDS(MO.ReportCurrency&amp;HP.TradeCurrency,"FG_PRICE(NOW)"),FDS(MO.ReportCurrency&amp;HP.TradeCurrency,"P_PRICE_AVG("&amp;INDEX(MO_SNA_FPStartDate,0,COLUMN())&amp;","&amp;INDEX(MO_Common_QEndDate,0,COLUMN())&amp;",,,,0)")),"N/A")</f>
        <v>N/A</v>
      </c>
      <c r="AL574" s="583" t="str">
        <f ca="1">IFERROR(IF(INDEX(MO_Common_QEndDate,0,COLUMN())&gt;TODAY(),FDS(MO.ReportCurrency&amp;HP.TradeCurrency,"FG_PRICE(NOW)"),FDS(MO.ReportCurrency&amp;HP.TradeCurrency,"P_PRICE_AVG("&amp;INDEX(MO_SNA_FPStartDate,0,COLUMN())&amp;","&amp;INDEX(MO_Common_QEndDate,0,COLUMN())&amp;",,,,0)")),"N/A")</f>
        <v>N/A</v>
      </c>
      <c r="AM574" s="583" t="str">
        <f ca="1">IFERROR(IF(INDEX(MO_Common_QEndDate,0,COLUMN())&gt;TODAY(),FDS(MO.ReportCurrency&amp;HP.TradeCurrency,"FG_PRICE(NOW)"),FDS(MO.ReportCurrency&amp;HP.TradeCurrency,"P_PRICE_AVG("&amp;INDEX(MO_SNA_FPStartDate,0,COLUMN())&amp;","&amp;INDEX(MO_Common_QEndDate,0,COLUMN())&amp;",,,,0)")),"N/A")</f>
        <v>N/A</v>
      </c>
      <c r="AN574" s="583" t="str">
        <f ca="1">IFERROR(IF(INDEX(MO_Common_QEndDate,0,COLUMN())&gt;TODAY(),FDS(MO.ReportCurrency&amp;HP.TradeCurrency,"FG_PRICE(NOW)"),FDS(MO.ReportCurrency&amp;HP.TradeCurrency,"P_PRICE_AVG("&amp;INDEX(MO_SNA_FPStartDate,0,COLUMN())&amp;","&amp;INDEX(MO_Common_QEndDate,0,COLUMN())&amp;",,,,0)")),"N/A")</f>
        <v>N/A</v>
      </c>
      <c r="AO574" s="583" t="str">
        <f ca="1">IFERROR(IF(INDEX(MO_Common_QEndDate,0,COLUMN())&gt;TODAY(),FDS(MO.ReportCurrency&amp;HP.TradeCurrency,"FG_PRICE(NOW)"),FDS(MO.ReportCurrency&amp;HP.TradeCurrency,"P_PRICE_AVG("&amp;INDEX(MO_SNA_FPStartDate,0,COLUMN())&amp;","&amp;INDEX(MO_Common_QEndDate,0,COLUMN())&amp;",,,,0)")),"N/A")</f>
        <v>N/A</v>
      </c>
      <c r="AP574" s="583" t="str">
        <f ca="1">IFERROR(IF(INDEX(MO_Common_QEndDate,0,COLUMN())&gt;TODAY(),FDS(MO.ReportCurrency&amp;HP.TradeCurrency,"FG_PRICE(NOW)"),FDS(MO.ReportCurrency&amp;HP.TradeCurrency,"P_PRICE_AVG("&amp;INDEX(MO_SNA_FPStartDate,0,COLUMN())&amp;","&amp;INDEX(MO_Common_QEndDate,0,COLUMN())&amp;",,,,0)")),"N/A")</f>
        <v>N/A</v>
      </c>
      <c r="AQ574" s="583" t="str">
        <f ca="1">IFERROR(IF(INDEX(MO_Common_QEndDate,0,COLUMN())&gt;TODAY(),FDS(MO.ReportCurrency&amp;HP.TradeCurrency,"FG_PRICE(NOW)"),FDS(MO.ReportCurrency&amp;HP.TradeCurrency,"P_PRICE_AVG("&amp;INDEX(MO_SNA_FPStartDate,0,COLUMN())&amp;","&amp;INDEX(MO_Common_QEndDate,0,COLUMN())&amp;",,,,0)")),"N/A")</f>
        <v>N/A</v>
      </c>
      <c r="AR574" s="583" t="str">
        <f ca="1">IFERROR(IF(INDEX(MO_Common_QEndDate,0,COLUMN())&gt;TODAY(),FDS(MO.ReportCurrency&amp;HP.TradeCurrency,"FG_PRICE(NOW)"),FDS(MO.ReportCurrency&amp;HP.TradeCurrency,"P_PRICE_AVG("&amp;INDEX(MO_SNA_FPStartDate,0,COLUMN())&amp;","&amp;INDEX(MO_Common_QEndDate,0,COLUMN())&amp;",,,,0)")),"N/A")</f>
        <v>N/A</v>
      </c>
      <c r="AS574" s="583" t="str">
        <f ca="1">IFERROR(IF(INDEX(MO_Common_QEndDate,0,COLUMN())&gt;TODAY(),FDS(MO.ReportCurrency&amp;HP.TradeCurrency,"FG_PRICE(NOW)"),FDS(MO.ReportCurrency&amp;HP.TradeCurrency,"P_PRICE_AVG("&amp;INDEX(MO_SNA_FPStartDate,0,COLUMN())&amp;","&amp;INDEX(MO_Common_QEndDate,0,COLUMN())&amp;",,,,0)")),"N/A")</f>
        <v>N/A</v>
      </c>
      <c r="AT574" s="583" t="str">
        <f ca="1">IFERROR(IF(INDEX(MO_Common_QEndDate,0,COLUMN())&gt;TODAY(),FDS(MO.ReportCurrency&amp;HP.TradeCurrency,"FG_PRICE(NOW)"),FDS(MO.ReportCurrency&amp;HP.TradeCurrency,"P_PRICE_AVG("&amp;INDEX(MO_SNA_FPStartDate,0,COLUMN())&amp;","&amp;INDEX(MO_Common_QEndDate,0,COLUMN())&amp;",,,,0)")),"N/A")</f>
        <v>N/A</v>
      </c>
      <c r="AU574" s="583" t="str">
        <f ca="1">IFERROR(IF(INDEX(MO_Common_QEndDate,0,COLUMN())&gt;TODAY(),FDS(MO.ReportCurrency&amp;HP.TradeCurrency,"FG_PRICE(NOW)"),FDS(MO.ReportCurrency&amp;HP.TradeCurrency,"P_PRICE_AVG("&amp;INDEX(MO_SNA_FPStartDate,0,COLUMN())&amp;","&amp;INDEX(MO_Common_QEndDate,0,COLUMN())&amp;",,,,0)")),"N/A")</f>
        <v>N/A</v>
      </c>
      <c r="AV574" s="583" t="str">
        <f ca="1">IFERROR(IF(INDEX(MO_Common_QEndDate,0,COLUMN())&gt;TODAY(),FDS(MO.ReportCurrency&amp;HP.TradeCurrency,"FG_PRICE(NOW)"),FDS(MO.ReportCurrency&amp;HP.TradeCurrency,"P_PRICE_AVG("&amp;INDEX(MO_SNA_FPStartDate,0,COLUMN())&amp;","&amp;INDEX(MO_Common_QEndDate,0,COLUMN())&amp;",,,,0)")),"N/A")</f>
        <v>N/A</v>
      </c>
      <c r="AW574" s="583" t="str">
        <f ca="1">IFERROR(IF(INDEX(MO_Common_QEndDate,0,COLUMN())&gt;TODAY(),FDS(MO.ReportCurrency&amp;HP.TradeCurrency,"FG_PRICE(NOW)"),FDS(MO.ReportCurrency&amp;HP.TradeCurrency,"P_PRICE_AVG("&amp;INDEX(MO_SNA_FPStartDate,0,COLUMN())&amp;","&amp;INDEX(MO_Common_QEndDate,0,COLUMN())&amp;",,,,0)")),"N/A")</f>
        <v>N/A</v>
      </c>
      <c r="AX574" s="583" t="str">
        <f ca="1">IFERROR(IF(INDEX(MO_Common_QEndDate,0,COLUMN())&gt;TODAY(),FDS(MO.ReportCurrency&amp;HP.TradeCurrency,"FG_PRICE(NOW)"),FDS(MO.ReportCurrency&amp;HP.TradeCurrency,"P_PRICE_AVG("&amp;INDEX(MO_SNA_FPStartDate,0,COLUMN())&amp;","&amp;INDEX(MO_Common_QEndDate,0,COLUMN())&amp;",,,,0)")),"N/A")</f>
        <v>N/A</v>
      </c>
      <c r="AY574" s="583" t="str">
        <f ca="1">IFERROR(IF(INDEX(MO_Common_QEndDate,0,COLUMN())&gt;TODAY(),FDS(MO.ReportCurrency&amp;HP.TradeCurrency,"FG_PRICE(NOW)"),FDS(MO.ReportCurrency&amp;HP.TradeCurrency,"P_PRICE_AVG("&amp;INDEX(MO_SNA_FPStartDate,0,COLUMN())&amp;","&amp;INDEX(MO_Common_QEndDate,0,COLUMN())&amp;",,,,0)")),"N/A")</f>
        <v>N/A</v>
      </c>
      <c r="AZ574" s="583" t="str">
        <f ca="1">IFERROR(IF(INDEX(MO_Common_QEndDate,0,COLUMN())&gt;TODAY(),FDS(MO.ReportCurrency&amp;HP.TradeCurrency,"FG_PRICE(NOW)"),FDS(MO.ReportCurrency&amp;HP.TradeCurrency,"P_PRICE_AVG("&amp;INDEX(MO_SNA_FPStartDate,0,COLUMN())&amp;","&amp;INDEX(MO_Common_QEndDate,0,COLUMN())&amp;",,,,0)")),"N/A")</f>
        <v>N/A</v>
      </c>
      <c r="BA574" s="583" t="str">
        <f ca="1">IFERROR(IF(INDEX(MO_Common_QEndDate,0,COLUMN())&gt;TODAY(),FDS(MO.ReportCurrency&amp;HP.TradeCurrency,"FG_PRICE(NOW)"),FDS(MO.ReportCurrency&amp;HP.TradeCurrency,"P_PRICE_AVG("&amp;INDEX(MO_SNA_FPStartDate,0,COLUMN())&amp;","&amp;INDEX(MO_Common_QEndDate,0,COLUMN())&amp;",,,,0)")),"N/A")</f>
        <v>N/A</v>
      </c>
      <c r="BB574" s="583" t="str">
        <f ca="1">IFERROR(IF(INDEX(MO_Common_QEndDate,0,COLUMN())&gt;TODAY(),FDS(MO.ReportCurrency&amp;HP.TradeCurrency,"FG_PRICE(NOW)"),FDS(MO.ReportCurrency&amp;HP.TradeCurrency,"P_PRICE_AVG("&amp;INDEX(MO_SNA_FPStartDate,0,COLUMN())&amp;","&amp;INDEX(MO_Common_QEndDate,0,COLUMN())&amp;",,,,0)")),"N/A")</f>
        <v>N/A</v>
      </c>
      <c r="BC574" s="583" t="str">
        <f ca="1">IFERROR(IF(INDEX(MO_Common_QEndDate,0,COLUMN())&gt;TODAY(),FDS(MO.ReportCurrency&amp;HP.TradeCurrency,"FG_PRICE(NOW)"),FDS(MO.ReportCurrency&amp;HP.TradeCurrency,"P_PRICE_AVG("&amp;INDEX(MO_SNA_FPStartDate,0,COLUMN())&amp;","&amp;INDEX(MO_Common_QEndDate,0,COLUMN())&amp;",,,,0)")),"N/A")</f>
        <v>N/A</v>
      </c>
      <c r="BD574" s="583" t="str">
        <f ca="1">IFERROR(IF(INDEX(MO_Common_QEndDate,0,COLUMN())&gt;TODAY(),FDS(MO.ReportCurrency&amp;HP.TradeCurrency,"FG_PRICE(NOW)"),FDS(MO.ReportCurrency&amp;HP.TradeCurrency,"P_PRICE_AVG("&amp;INDEX(MO_SNA_FPStartDate,0,COLUMN())&amp;","&amp;INDEX(MO_Common_QEndDate,0,COLUMN())&amp;",,,,0)")),"N/A")</f>
        <v>N/A</v>
      </c>
      <c r="BE574" s="583" t="str">
        <f ca="1">IFERROR(IF(INDEX(MO_Common_QEndDate,0,COLUMN())&gt;TODAY(),FDS(MO.ReportCurrency&amp;HP.TradeCurrency,"FG_PRICE(NOW)"),FDS(MO.ReportCurrency&amp;HP.TradeCurrency,"P_PRICE_AVG("&amp;INDEX(MO_SNA_FPStartDate,0,COLUMN())&amp;","&amp;INDEX(MO_Common_QEndDate,0,COLUMN())&amp;",,,,0)")),"N/A")</f>
        <v>N/A</v>
      </c>
      <c r="BF574" s="583" t="str">
        <f ca="1">IFERROR(IF(INDEX(MO_Common_QEndDate,0,COLUMN())&gt;TODAY(),FDS(MO.ReportCurrency&amp;HP.TradeCurrency,"FG_PRICE(NOW)"),FDS(MO.ReportCurrency&amp;HP.TradeCurrency,"P_PRICE_AVG("&amp;INDEX(MO_SNA_FPStartDate,0,COLUMN())&amp;","&amp;INDEX(MO_Common_QEndDate,0,COLUMN())&amp;",,,,0)")),"N/A")</f>
        <v>N/A</v>
      </c>
      <c r="BG574" s="583" t="str">
        <f ca="1">IFERROR(IF(INDEX(MO_Common_QEndDate,0,COLUMN())&gt;TODAY(),FDS(MO.ReportCurrency&amp;HP.TradeCurrency,"FG_PRICE(NOW)"),FDS(MO.ReportCurrency&amp;HP.TradeCurrency,"P_PRICE_AVG("&amp;INDEX(MO_SNA_FPStartDate,0,COLUMN())&amp;","&amp;INDEX(MO_Common_QEndDate,0,COLUMN())&amp;",,,,0)")),"N/A")</f>
        <v>N/A</v>
      </c>
      <c r="BH574" s="584" t="str">
        <f ca="1">IFERROR(IF(INDEX(MO_Common_QEndDate,0,COLUMN())&gt;TODAY(),FDS(MO.ReportCurrency&amp;HP.TradeCurrency,"FG_PRICE(NOW)"),FDS(MO.ReportCurrency&amp;HP.TradeCurrency,"P_PRICE_AVG("&amp;INDEX(MO_SNA_FPStartDate,0,COLUMN())&amp;","&amp;INDEX(MO_Common_QEndDate,0,COLUMN())&amp;",,,,0)")),"N/A")</f>
        <v>N/A</v>
      </c>
      <c r="BI574" s="583" t="str">
        <f ca="1">IFERROR(IF(INDEX(MO_Common_QEndDate,0,COLUMN())&gt;TODAY(),FDS(MO.ReportCurrency&amp;HP.TradeCurrency,"FG_PRICE(NOW)"),FDS(MO.ReportCurrency&amp;HP.TradeCurrency,"P_PRICE_AVG("&amp;INDEX(MO_SNA_FPStartDate,0,COLUMN())&amp;","&amp;INDEX(MO_Common_QEndDate,0,COLUMN())&amp;",,,,0)")),"N/A")</f>
        <v>N/A</v>
      </c>
      <c r="BJ574" s="583" t="str">
        <f ca="1">IFERROR(IF(INDEX(MO_Common_QEndDate,0,COLUMN())&gt;TODAY(),FDS(MO.ReportCurrency&amp;HP.TradeCurrency,"FG_PRICE(NOW)"),FDS(MO.ReportCurrency&amp;HP.TradeCurrency,"P_PRICE_AVG("&amp;INDEX(MO_SNA_FPStartDate,0,COLUMN())&amp;","&amp;INDEX(MO_Common_QEndDate,0,COLUMN())&amp;",,,,0)")),"N/A")</f>
        <v>N/A</v>
      </c>
      <c r="BK574" s="583" t="str">
        <f ca="1">IFERROR(IF(INDEX(MO_Common_QEndDate,0,COLUMN())&gt;TODAY(),FDS(MO.ReportCurrency&amp;HP.TradeCurrency,"FG_PRICE(NOW)"),FDS(MO.ReportCurrency&amp;HP.TradeCurrency,"P_PRICE_AVG("&amp;INDEX(MO_SNA_FPStartDate,0,COLUMN())&amp;","&amp;INDEX(MO_Common_QEndDate,0,COLUMN())&amp;",,,,0)")),"N/A")</f>
        <v>N/A</v>
      </c>
      <c r="BL574" s="583" t="str">
        <f ca="1">IFERROR(IF(INDEX(MO_Common_QEndDate,0,COLUMN())&gt;TODAY(),FDS(MO.ReportCurrency&amp;HP.TradeCurrency,"FG_PRICE(NOW)"),FDS(MO.ReportCurrency&amp;HP.TradeCurrency,"P_PRICE_AVG("&amp;INDEX(MO_SNA_FPStartDate,0,COLUMN())&amp;","&amp;INDEX(MO_Common_QEndDate,0,COLUMN())&amp;",,,,0)")),"N/A")</f>
        <v>N/A</v>
      </c>
      <c r="BM574" s="583" t="str">
        <f ca="1">IFERROR(IF(INDEX(MO_Common_QEndDate,0,COLUMN())&gt;TODAY(),FDS(MO.ReportCurrency&amp;HP.TradeCurrency,"FG_PRICE(NOW)"),FDS(MO.ReportCurrency&amp;HP.TradeCurrency,"P_PRICE_AVG("&amp;INDEX(MO_SNA_FPStartDate,0,COLUMN())&amp;","&amp;INDEX(MO_Common_QEndDate,0,COLUMN())&amp;",,,,0)")),"N/A")</f>
        <v>N/A</v>
      </c>
      <c r="BN574" s="583" t="str">
        <f ca="1">IFERROR(IF(INDEX(MO_Common_QEndDate,0,COLUMN())&gt;TODAY(),FDS(MO.ReportCurrency&amp;HP.TradeCurrency,"FG_PRICE(NOW)"),FDS(MO.ReportCurrency&amp;HP.TradeCurrency,"P_PRICE_AVG("&amp;INDEX(MO_SNA_FPStartDate,0,COLUMN())&amp;","&amp;INDEX(MO_Common_QEndDate,0,COLUMN())&amp;",,,,0)")),"N/A")</f>
        <v>N/A</v>
      </c>
      <c r="BO574" s="583" t="str">
        <f ca="1">IFERROR(IF(INDEX(MO_Common_QEndDate,0,COLUMN())&gt;TODAY(),FDS(MO.ReportCurrency&amp;HP.TradeCurrency,"FG_PRICE(NOW)"),FDS(MO.ReportCurrency&amp;HP.TradeCurrency,"P_PRICE_AVG("&amp;INDEX(MO_SNA_FPStartDate,0,COLUMN())&amp;","&amp;INDEX(MO_Common_QEndDate,0,COLUMN())&amp;",,,,0)")),"N/A")</f>
        <v>N/A</v>
      </c>
      <c r="BP574" s="583" t="str">
        <f ca="1">IFERROR(IF(INDEX(MO_Common_QEndDate,0,COLUMN())&gt;TODAY(),FDS(MO.ReportCurrency&amp;HP.TradeCurrency,"FG_PRICE(NOW)"),FDS(MO.ReportCurrency&amp;HP.TradeCurrency,"P_PRICE_AVG("&amp;INDEX(MO_SNA_FPStartDate,0,COLUMN())&amp;","&amp;INDEX(MO_Common_QEndDate,0,COLUMN())&amp;",,,,0)")),"N/A")</f>
        <v>N/A</v>
      </c>
      <c r="BQ574" s="583" t="str">
        <f ca="1">IFERROR(IF(INDEX(MO_Common_QEndDate,0,COLUMN())&gt;TODAY(),FDS(MO.ReportCurrency&amp;HP.TradeCurrency,"FG_PRICE(NOW)"),FDS(MO.ReportCurrency&amp;HP.TradeCurrency,"P_PRICE_AVG("&amp;INDEX(MO_SNA_FPStartDate,0,COLUMN())&amp;","&amp;INDEX(MO_Common_QEndDate,0,COLUMN())&amp;",,,,0)")),"N/A")</f>
        <v>N/A</v>
      </c>
      <c r="BR574" s="585" t="str">
        <f ca="1">IFERROR(IF(INDEX(MO_Common_QEndDate,0,COLUMN())&gt;TODAY(),FDS(MO.ReportCurrency&amp;HP.TradeCurrency,"FG_PRICE(NOW)"),FDS(MO.ReportCurrency&amp;HP.TradeCurrency,"P_PRICE_AVG("&amp;INDEX(MO_SNA_FPStartDate,0,COLUMN())&amp;","&amp;INDEX(MO_Common_QEndDate,0,COLUMN())&amp;",,,,0)")),"N/A")</f>
        <v>N/A</v>
      </c>
      <c r="BS574" s="324"/>
    </row>
    <row r="575" spans="1:71" s="289" customFormat="1" ht="15" hidden="1" outlineLevel="1">
      <c r="A575" s="290" t="s">
        <v>415</v>
      </c>
      <c r="B575" s="583"/>
      <c r="C575" s="582" t="str">
        <f t="shared" si="1210" ref="C575:AQ575">"N/A"</f>
        <v>N/A</v>
      </c>
      <c r="D575" s="582" t="str">
        <f t="shared" si="1210"/>
        <v>N/A</v>
      </c>
      <c r="E575" s="583" t="str">
        <f t="shared" si="1210"/>
        <v>N/A</v>
      </c>
      <c r="F575" s="583" t="str">
        <f t="shared" si="1210"/>
        <v>N/A</v>
      </c>
      <c r="G575" s="583" t="str">
        <f t="shared" si="1210"/>
        <v>N/A</v>
      </c>
      <c r="H575" s="583" t="str">
        <f t="shared" si="1210"/>
        <v>N/A</v>
      </c>
      <c r="I575" s="583" t="str">
        <f t="shared" si="1210"/>
        <v>N/A</v>
      </c>
      <c r="J575" s="583" t="str">
        <f t="shared" si="1210"/>
        <v>N/A</v>
      </c>
      <c r="K575" s="583" t="str">
        <f t="shared" si="1210"/>
        <v>N/A</v>
      </c>
      <c r="L575" s="583" t="str">
        <f t="shared" si="1210"/>
        <v>N/A</v>
      </c>
      <c r="M575" s="583" t="str">
        <f t="shared" si="1210"/>
        <v>N/A</v>
      </c>
      <c r="N575" s="583" t="str">
        <f t="shared" si="1210"/>
        <v>N/A</v>
      </c>
      <c r="O575" s="583" t="str">
        <f t="shared" si="1210"/>
        <v>N/A</v>
      </c>
      <c r="P575" s="583" t="str">
        <f t="shared" si="1210"/>
        <v>N/A</v>
      </c>
      <c r="Q575" s="583" t="str">
        <f t="shared" si="1210"/>
        <v>N/A</v>
      </c>
      <c r="R575" s="583" t="str">
        <f t="shared" si="1210"/>
        <v>N/A</v>
      </c>
      <c r="S575" s="583" t="str">
        <f t="shared" si="1210"/>
        <v>N/A</v>
      </c>
      <c r="T575" s="583" t="str">
        <f t="shared" si="1210"/>
        <v>N/A</v>
      </c>
      <c r="U575" s="583" t="str">
        <f t="shared" si="1210"/>
        <v>N/A</v>
      </c>
      <c r="V575" s="583" t="str">
        <f t="shared" si="1210"/>
        <v>N/A</v>
      </c>
      <c r="W575" s="583" t="str">
        <f t="shared" si="1210"/>
        <v>N/A</v>
      </c>
      <c r="X575" s="583" t="str">
        <f t="shared" si="1210"/>
        <v>N/A</v>
      </c>
      <c r="Y575" s="583" t="str">
        <f t="shared" si="1210"/>
        <v>N/A</v>
      </c>
      <c r="Z575" s="583" t="str">
        <f t="shared" si="1210"/>
        <v>N/A</v>
      </c>
      <c r="AA575" s="583" t="str">
        <f t="shared" si="1210"/>
        <v>N/A</v>
      </c>
      <c r="AB575" s="583" t="str">
        <f t="shared" si="1210"/>
        <v>N/A</v>
      </c>
      <c r="AC575" s="583" t="str">
        <f t="shared" si="1210"/>
        <v>N/A</v>
      </c>
      <c r="AD575" s="583" t="str">
        <f t="shared" si="1210"/>
        <v>N/A</v>
      </c>
      <c r="AE575" s="583" t="str">
        <f t="shared" si="1210"/>
        <v>N/A</v>
      </c>
      <c r="AF575" s="583" t="str">
        <f t="shared" si="1210"/>
        <v>N/A</v>
      </c>
      <c r="AG575" s="583" t="str">
        <f t="shared" si="1210"/>
        <v>N/A</v>
      </c>
      <c r="AH575" s="583" t="str">
        <f t="shared" si="1210"/>
        <v>N/A</v>
      </c>
      <c r="AI575" s="583" t="str">
        <f t="shared" si="1210"/>
        <v>N/A</v>
      </c>
      <c r="AJ575" s="583" t="str">
        <f t="shared" si="1210"/>
        <v>N/A</v>
      </c>
      <c r="AK575" s="583" t="str">
        <f t="shared" si="1210"/>
        <v>N/A</v>
      </c>
      <c r="AL575" s="583" t="str">
        <f t="shared" si="1210"/>
        <v>N/A</v>
      </c>
      <c r="AM575" s="583" t="str">
        <f t="shared" si="1210"/>
        <v>N/A</v>
      </c>
      <c r="AN575" s="583" t="str">
        <f t="shared" si="1210"/>
        <v>N/A</v>
      </c>
      <c r="AO575" s="583" t="str">
        <f t="shared" si="1210"/>
        <v>N/A</v>
      </c>
      <c r="AP575" s="583" t="str">
        <f t="shared" si="1210"/>
        <v>N/A</v>
      </c>
      <c r="AQ575" s="583" t="str">
        <f t="shared" si="1210"/>
        <v>N/A</v>
      </c>
      <c r="AR575" s="583" t="str">
        <f t="shared" si="1211" ref="AR575:AW575">"N/A"</f>
        <v>N/A</v>
      </c>
      <c r="AS575" s="583" t="str">
        <f t="shared" si="1211"/>
        <v>N/A</v>
      </c>
      <c r="AT575" s="583" t="str">
        <f t="shared" si="1211"/>
        <v>N/A</v>
      </c>
      <c r="AU575" s="583" t="str">
        <f t="shared" si="1211"/>
        <v>N/A</v>
      </c>
      <c r="AV575" s="583" t="str">
        <f t="shared" si="1211"/>
        <v>N/A</v>
      </c>
      <c r="AW575" s="583" t="str">
        <f t="shared" si="1211"/>
        <v>N/A</v>
      </c>
      <c r="AX575" s="583" t="str">
        <f t="shared" si="1212" ref="AX575:BJ575">"N/A"</f>
        <v>N/A</v>
      </c>
      <c r="AY575" s="583" t="str">
        <f t="shared" si="1212"/>
        <v>N/A</v>
      </c>
      <c r="AZ575" s="583" t="str">
        <f t="shared" si="1212"/>
        <v>N/A</v>
      </c>
      <c r="BA575" s="583" t="str">
        <f t="shared" si="1213" ref="BA575:BI575">"N/A"</f>
        <v>N/A</v>
      </c>
      <c r="BB575" s="583" t="str">
        <f t="shared" si="1213"/>
        <v>N/A</v>
      </c>
      <c r="BC575" s="583" t="str">
        <f t="shared" si="1213"/>
        <v>N/A</v>
      </c>
      <c r="BD575" s="583" t="str">
        <f t="shared" si="1213"/>
        <v>N/A</v>
      </c>
      <c r="BE575" s="583" t="str">
        <f t="shared" si="1213"/>
        <v>N/A</v>
      </c>
      <c r="BF575" s="583" t="str">
        <f>"N/A"</f>
        <v>N/A</v>
      </c>
      <c r="BG575" s="583" t="str">
        <f>"N/A"</f>
        <v>N/A</v>
      </c>
      <c r="BH575" s="584" t="str">
        <f>"N/A"</f>
        <v>N/A</v>
      </c>
      <c r="BI575" s="583" t="str">
        <f t="shared" si="1213"/>
        <v>N/A</v>
      </c>
      <c r="BJ575" s="583" t="str">
        <f t="shared" si="1212"/>
        <v>N/A</v>
      </c>
      <c r="BK575" s="583" t="str">
        <f t="shared" si="1214" ref="BK575:BR575">"N/A"</f>
        <v>N/A</v>
      </c>
      <c r="BL575" s="583" t="str">
        <f t="shared" si="1214"/>
        <v>N/A</v>
      </c>
      <c r="BM575" s="583" t="str">
        <f t="shared" si="1214"/>
        <v>N/A</v>
      </c>
      <c r="BN575" s="583" t="str">
        <f t="shared" si="1214"/>
        <v>N/A</v>
      </c>
      <c r="BO575" s="583" t="str">
        <f t="shared" si="1214"/>
        <v>N/A</v>
      </c>
      <c r="BP575" s="583" t="str">
        <f t="shared" si="1214"/>
        <v>N/A</v>
      </c>
      <c r="BQ575" s="583" t="str">
        <f t="shared" si="1214"/>
        <v>N/A</v>
      </c>
      <c r="BR575" s="585" t="str">
        <f t="shared" si="1214"/>
        <v>N/A</v>
      </c>
      <c r="BS575" s="324"/>
    </row>
    <row r="576" spans="1:71" ht="15" hidden="1" outlineLevel="1" collapsed="1">
      <c r="A576" s="221"/>
      <c r="B576" s="814"/>
      <c r="C576" s="274"/>
      <c r="D576" s="274"/>
      <c r="E576" s="814"/>
      <c r="F576" s="814"/>
      <c r="G576" s="814"/>
      <c r="H576" s="814"/>
      <c r="I576" s="814"/>
      <c r="J576" s="814"/>
      <c r="K576" s="814"/>
      <c r="L576" s="814"/>
      <c r="M576" s="814"/>
      <c r="N576" s="814"/>
      <c r="O576" s="814"/>
      <c r="P576" s="245"/>
      <c r="Q576" s="814"/>
      <c r="R576" s="814"/>
      <c r="S576" s="814"/>
      <c r="T576" s="814"/>
      <c r="U576" s="814"/>
      <c r="V576" s="814"/>
      <c r="W576" s="814"/>
      <c r="X576" s="814"/>
      <c r="Y576" s="814"/>
      <c r="Z576" s="814"/>
      <c r="AA576" s="814"/>
      <c r="AB576" s="814"/>
      <c r="AC576" s="814"/>
      <c r="AD576" s="814"/>
      <c r="AE576" s="814"/>
      <c r="AF576" s="814"/>
      <c r="AG576" s="814"/>
      <c r="AH576" s="814"/>
      <c r="AI576" s="814"/>
      <c r="AJ576" s="814"/>
      <c r="AK576" s="814"/>
      <c r="AL576" s="814"/>
      <c r="AM576" s="814"/>
      <c r="AN576" s="814"/>
      <c r="AO576" s="814"/>
      <c r="AP576" s="814"/>
      <c r="AQ576" s="814"/>
      <c r="AR576" s="814"/>
      <c r="AS576" s="814"/>
      <c r="AT576" s="814"/>
      <c r="AU576" s="814"/>
      <c r="AV576" s="814"/>
      <c r="AW576" s="814"/>
      <c r="AX576" s="814"/>
      <c r="AY576" s="814"/>
      <c r="AZ576" s="814"/>
      <c r="BA576" s="814"/>
      <c r="BB576" s="814"/>
      <c r="BC576" s="814"/>
      <c r="BD576" s="814"/>
      <c r="BE576" s="814"/>
      <c r="BF576" s="814"/>
      <c r="BG576" s="814"/>
      <c r="BH576" s="815"/>
      <c r="BI576" s="814"/>
      <c r="BJ576" s="814"/>
      <c r="BK576" s="814"/>
      <c r="BL576" s="814"/>
      <c r="BM576" s="814"/>
      <c r="BN576" s="814"/>
      <c r="BO576" s="814"/>
      <c r="BP576" s="814"/>
      <c r="BQ576" s="814"/>
      <c r="BR576" s="220"/>
      <c r="BS576" s="318"/>
    </row>
    <row r="577" spans="1:71" ht="15" collapsed="1">
      <c r="A577" s="221" t="s">
        <v>426</v>
      </c>
      <c r="B577" s="814"/>
      <c r="C577" s="575">
        <f t="shared" si="1215" ref="C577:AH577">WORKDAY(INDEX(MO_Common_QEndDate,0,COLUMN()),-1)</f>
        <v>40177</v>
      </c>
      <c r="D577" s="575">
        <f t="shared" si="1215"/>
        <v>40542</v>
      </c>
      <c r="E577" s="576">
        <f t="shared" si="1215"/>
        <v>40907</v>
      </c>
      <c r="F577" s="576">
        <f t="shared" si="1215"/>
        <v>41271</v>
      </c>
      <c r="G577" s="576">
        <f t="shared" si="1215"/>
        <v>41638</v>
      </c>
      <c r="H577" s="576">
        <f t="shared" si="1215"/>
        <v>41726</v>
      </c>
      <c r="I577" s="576">
        <f t="shared" si="1215"/>
        <v>41817</v>
      </c>
      <c r="J577" s="576">
        <f t="shared" si="1215"/>
        <v>41911</v>
      </c>
      <c r="K577" s="576">
        <f t="shared" si="1215"/>
        <v>42003</v>
      </c>
      <c r="L577" s="576">
        <f t="shared" si="1215"/>
        <v>42003</v>
      </c>
      <c r="M577" s="576">
        <f t="shared" si="1215"/>
        <v>42093</v>
      </c>
      <c r="N577" s="576">
        <f t="shared" si="1215"/>
        <v>42184</v>
      </c>
      <c r="O577" s="576">
        <f t="shared" si="1215"/>
        <v>42276</v>
      </c>
      <c r="P577" s="576">
        <f t="shared" si="1215"/>
        <v>42368</v>
      </c>
      <c r="Q577" s="576">
        <f t="shared" si="1215"/>
        <v>42368</v>
      </c>
      <c r="R577" s="576">
        <f t="shared" si="1215"/>
        <v>42459</v>
      </c>
      <c r="S577" s="576">
        <f t="shared" si="1215"/>
        <v>42550</v>
      </c>
      <c r="T577" s="576">
        <f t="shared" si="1215"/>
        <v>42642</v>
      </c>
      <c r="U577" s="576">
        <f t="shared" si="1215"/>
        <v>42734</v>
      </c>
      <c r="V577" s="576">
        <f t="shared" si="1215"/>
        <v>42734</v>
      </c>
      <c r="W577" s="576">
        <f t="shared" si="1215"/>
        <v>42824</v>
      </c>
      <c r="X577" s="576">
        <f t="shared" si="1215"/>
        <v>42915</v>
      </c>
      <c r="Y577" s="576">
        <f t="shared" si="1215"/>
        <v>43007</v>
      </c>
      <c r="Z577" s="576">
        <f t="shared" si="1215"/>
        <v>43098</v>
      </c>
      <c r="AA577" s="576">
        <f t="shared" si="1215"/>
        <v>43098</v>
      </c>
      <c r="AB577" s="576">
        <f t="shared" si="1215"/>
        <v>43189</v>
      </c>
      <c r="AC577" s="576">
        <f t="shared" si="1215"/>
        <v>43280</v>
      </c>
      <c r="AD577" s="576">
        <f t="shared" si="1215"/>
        <v>43371</v>
      </c>
      <c r="AE577" s="576">
        <f t="shared" si="1215"/>
        <v>43462</v>
      </c>
      <c r="AF577" s="576">
        <f t="shared" si="1215"/>
        <v>43462</v>
      </c>
      <c r="AG577" s="576">
        <f t="shared" si="1215"/>
        <v>43553</v>
      </c>
      <c r="AH577" s="576">
        <f t="shared" si="1215"/>
        <v>43644</v>
      </c>
      <c r="AI577" s="576">
        <f t="shared" si="1216" ref="AI577:AV577">WORKDAY(INDEX(MO_Common_QEndDate,0,COLUMN()),-1)</f>
        <v>43735</v>
      </c>
      <c r="AJ577" s="576">
        <f t="shared" si="1216"/>
        <v>43829</v>
      </c>
      <c r="AK577" s="576">
        <f t="shared" si="1216"/>
        <v>43829</v>
      </c>
      <c r="AL577" s="576">
        <f t="shared" si="1216"/>
        <v>43920</v>
      </c>
      <c r="AM577" s="576">
        <f t="shared" si="1216"/>
        <v>44011</v>
      </c>
      <c r="AN577" s="576">
        <f t="shared" si="1216"/>
        <v>44103</v>
      </c>
      <c r="AO577" s="576">
        <f t="shared" si="1216"/>
        <v>44195</v>
      </c>
      <c r="AP577" s="576">
        <f t="shared" si="1216"/>
        <v>44195</v>
      </c>
      <c r="AQ577" s="576">
        <f t="shared" si="1216"/>
        <v>44285</v>
      </c>
      <c r="AR577" s="576">
        <f t="shared" si="1216"/>
        <v>44376</v>
      </c>
      <c r="AS577" s="576">
        <f t="shared" si="1216"/>
        <v>44468</v>
      </c>
      <c r="AT577" s="576">
        <f t="shared" si="1216"/>
        <v>44560</v>
      </c>
      <c r="AU577" s="576">
        <f t="shared" si="1216"/>
        <v>44560</v>
      </c>
      <c r="AV577" s="576">
        <f t="shared" si="1216"/>
        <v>44650</v>
      </c>
      <c r="AW577" s="576">
        <f t="shared" si="1217" ref="AW577:AZ577">WORKDAY(INDEX(MO_Common_QEndDate,0,COLUMN()),-1)</f>
        <v>44741</v>
      </c>
      <c r="AX577" s="576">
        <f t="shared" si="1217"/>
        <v>44833</v>
      </c>
      <c r="AY577" s="576">
        <f t="shared" si="1217"/>
        <v>44925</v>
      </c>
      <c r="AZ577" s="576">
        <f t="shared" si="1217"/>
        <v>44925</v>
      </c>
      <c r="BA577" s="576">
        <f t="shared" si="1218" ref="BA577:BR577">WORKDAY(INDEX(MO_Common_QEndDate,0,COLUMN()),-1)</f>
        <v>45015</v>
      </c>
      <c r="BB577" s="576">
        <f t="shared" si="1218"/>
        <v>45106</v>
      </c>
      <c r="BC577" s="576">
        <f t="shared" si="1218"/>
        <v>45198</v>
      </c>
      <c r="BD577" s="576">
        <f t="shared" si="1218"/>
        <v>45289</v>
      </c>
      <c r="BE577" s="576">
        <f t="shared" si="1218"/>
        <v>45289</v>
      </c>
      <c r="BF577" s="576">
        <f>WORKDAY(INDEX(MO_Common_QEndDate,0,COLUMN()),-1)</f>
        <v>45380</v>
      </c>
      <c r="BG577" s="576">
        <f>WORKDAY(INDEX(MO_Common_QEndDate,0,COLUMN()),-1)</f>
        <v>45471</v>
      </c>
      <c r="BH577" s="577">
        <f>WORKDAY(INDEX(MO_Common_QEndDate,0,COLUMN()),-1)</f>
        <v>45562</v>
      </c>
      <c r="BI577" s="576">
        <f t="shared" si="1218"/>
        <v>45656</v>
      </c>
      <c r="BJ577" s="576">
        <f t="shared" si="1218"/>
        <v>45656</v>
      </c>
      <c r="BK577" s="576">
        <f t="shared" si="1218"/>
        <v>45744</v>
      </c>
      <c r="BL577" s="576">
        <f t="shared" si="1218"/>
        <v>45835</v>
      </c>
      <c r="BM577" s="576">
        <f t="shared" si="1218"/>
        <v>45929</v>
      </c>
      <c r="BN577" s="576">
        <f t="shared" si="1218"/>
        <v>46021</v>
      </c>
      <c r="BO577" s="576">
        <f t="shared" si="1218"/>
        <v>46021</v>
      </c>
      <c r="BP577" s="576">
        <f t="shared" si="1218"/>
        <v>46386</v>
      </c>
      <c r="BQ577" s="576">
        <f t="shared" si="1218"/>
        <v>46751</v>
      </c>
      <c r="BR577" s="578">
        <f t="shared" si="1218"/>
        <v>47116</v>
      </c>
      <c r="BS577" s="318"/>
    </row>
    <row r="578" spans="1:71" ht="15" collapsed="1">
      <c r="A578" s="221" t="s">
        <v>427</v>
      </c>
      <c r="B578" s="814"/>
      <c r="C578" s="955">
        <v>23.44</v>
      </c>
      <c r="D578" s="955">
        <v>28.045</v>
      </c>
      <c r="E578" s="956">
        <v>21.63</v>
      </c>
      <c r="F578" s="956">
        <v>26.125</v>
      </c>
      <c r="G578" s="956">
        <v>33.345</v>
      </c>
      <c r="H578" s="956">
        <v>31.33</v>
      </c>
      <c r="I578" s="956">
        <v>31.36</v>
      </c>
      <c r="J578" s="956">
        <v>29.235</v>
      </c>
      <c r="K578" s="956">
        <v>30.99</v>
      </c>
      <c r="L578" s="956">
        <v>30.99</v>
      </c>
      <c r="M578" s="956">
        <v>32.10</v>
      </c>
      <c r="N578" s="956">
        <v>30.72</v>
      </c>
      <c r="O578" s="956">
        <v>28.86</v>
      </c>
      <c r="P578" s="956">
        <v>30.26</v>
      </c>
      <c r="Q578" s="956">
        <v>30.26</v>
      </c>
      <c r="R578" s="956">
        <v>31.865</v>
      </c>
      <c r="S578" s="956">
        <v>35.04</v>
      </c>
      <c r="T578" s="956">
        <v>35.78</v>
      </c>
      <c r="U578" s="956">
        <v>34.799999999999997</v>
      </c>
      <c r="V578" s="956">
        <v>34.799999999999997</v>
      </c>
      <c r="W578" s="956">
        <v>36.159999999999997</v>
      </c>
      <c r="X578" s="956">
        <v>38.799999999999997</v>
      </c>
      <c r="Y578" s="956">
        <v>40.695</v>
      </c>
      <c r="Z578" s="956">
        <v>43.89</v>
      </c>
      <c r="AA578" s="956">
        <v>43.89</v>
      </c>
      <c r="AB578" s="956">
        <v>43.76</v>
      </c>
      <c r="AC578" s="956">
        <v>43.02</v>
      </c>
      <c r="AD578" s="956">
        <v>47.07</v>
      </c>
      <c r="AE578" s="956">
        <v>44.95</v>
      </c>
      <c r="AF578" s="956">
        <v>44.95</v>
      </c>
      <c r="AG578" s="956">
        <v>50</v>
      </c>
      <c r="AH578" s="956">
        <v>54.81</v>
      </c>
      <c r="AI578" s="956">
        <v>51.89</v>
      </c>
      <c r="AJ578" s="956">
        <v>52.74</v>
      </c>
      <c r="AK578" s="956">
        <v>52.74</v>
      </c>
      <c r="AL578" s="956">
        <v>36.26</v>
      </c>
      <c r="AM578" s="956">
        <v>35.43</v>
      </c>
      <c r="AN578" s="956">
        <v>36.020000000000003</v>
      </c>
      <c r="AO578" s="956">
        <v>44.01</v>
      </c>
      <c r="AP578" s="956">
        <v>44.01</v>
      </c>
      <c r="AQ578" s="956">
        <v>51.83</v>
      </c>
      <c r="AR578" s="956">
        <v>53.55</v>
      </c>
      <c r="AS578" s="956">
        <v>52.74</v>
      </c>
      <c r="AT578" s="956">
        <v>58.56</v>
      </c>
      <c r="AU578" s="956">
        <v>58.56</v>
      </c>
      <c r="AV578" s="956">
        <v>65.50</v>
      </c>
      <c r="AW578" s="956">
        <v>55.46</v>
      </c>
      <c r="AX578" s="956">
        <v>56.58</v>
      </c>
      <c r="AY578" s="956">
        <v>71.94</v>
      </c>
      <c r="AZ578" s="956">
        <v>71.94</v>
      </c>
      <c r="BA578" s="956">
        <v>64.290000000000006</v>
      </c>
      <c r="BB578" s="956">
        <v>69.120000000000005</v>
      </c>
      <c r="BC578" s="956">
        <v>76.75</v>
      </c>
      <c r="BD578" s="956">
        <v>82.50</v>
      </c>
      <c r="BE578" s="956">
        <v>82.50</v>
      </c>
      <c r="BF578" s="956">
        <v>85.86</v>
      </c>
      <c r="BG578" s="956">
        <v>89.31</v>
      </c>
      <c r="BH578" s="957">
        <v>110.59</v>
      </c>
      <c r="BI578" s="580"/>
      <c r="BJ578" s="580"/>
      <c r="BK578" s="580"/>
      <c r="BL578" s="580"/>
      <c r="BM578" s="580"/>
      <c r="BN578" s="580"/>
      <c r="BO578" s="580"/>
      <c r="BP578" s="580"/>
      <c r="BQ578" s="580"/>
      <c r="BR578" s="581"/>
      <c r="BS578" s="318"/>
    </row>
    <row r="579" spans="1:71" ht="15" collapsed="1">
      <c r="A579" s="221" t="s">
        <v>428</v>
      </c>
      <c r="B579" s="814"/>
      <c r="C579" s="952">
        <v>1</v>
      </c>
      <c r="D579" s="952">
        <v>1</v>
      </c>
      <c r="E579" s="953">
        <v>1</v>
      </c>
      <c r="F579" s="953">
        <v>1</v>
      </c>
      <c r="G579" s="953">
        <v>1</v>
      </c>
      <c r="H579" s="953">
        <v>1</v>
      </c>
      <c r="I579" s="953">
        <v>1</v>
      </c>
      <c r="J579" s="953">
        <v>1</v>
      </c>
      <c r="K579" s="953">
        <v>1</v>
      </c>
      <c r="L579" s="953">
        <v>1</v>
      </c>
      <c r="M579" s="953">
        <v>1</v>
      </c>
      <c r="N579" s="953">
        <v>1</v>
      </c>
      <c r="O579" s="953">
        <v>1</v>
      </c>
      <c r="P579" s="953">
        <v>1</v>
      </c>
      <c r="Q579" s="953">
        <v>1</v>
      </c>
      <c r="R579" s="953">
        <v>1</v>
      </c>
      <c r="S579" s="953">
        <v>1</v>
      </c>
      <c r="T579" s="953">
        <v>1</v>
      </c>
      <c r="U579" s="953">
        <v>1</v>
      </c>
      <c r="V579" s="953">
        <v>1</v>
      </c>
      <c r="W579" s="953">
        <v>1</v>
      </c>
      <c r="X579" s="953">
        <v>1</v>
      </c>
      <c r="Y579" s="953">
        <v>1</v>
      </c>
      <c r="Z579" s="953">
        <v>1</v>
      </c>
      <c r="AA579" s="953">
        <v>1</v>
      </c>
      <c r="AB579" s="953">
        <v>1</v>
      </c>
      <c r="AC579" s="953">
        <v>1</v>
      </c>
      <c r="AD579" s="953">
        <v>1</v>
      </c>
      <c r="AE579" s="953">
        <v>1</v>
      </c>
      <c r="AF579" s="953">
        <v>1</v>
      </c>
      <c r="AG579" s="953">
        <v>1</v>
      </c>
      <c r="AH579" s="953">
        <v>1</v>
      </c>
      <c r="AI579" s="953">
        <v>1</v>
      </c>
      <c r="AJ579" s="953">
        <v>1</v>
      </c>
      <c r="AK579" s="953">
        <v>1</v>
      </c>
      <c r="AL579" s="953">
        <v>1</v>
      </c>
      <c r="AM579" s="953">
        <v>1</v>
      </c>
      <c r="AN579" s="953">
        <v>1</v>
      </c>
      <c r="AO579" s="953">
        <v>1</v>
      </c>
      <c r="AP579" s="953">
        <v>1</v>
      </c>
      <c r="AQ579" s="953">
        <v>1</v>
      </c>
      <c r="AR579" s="953">
        <v>1</v>
      </c>
      <c r="AS579" s="953">
        <v>1</v>
      </c>
      <c r="AT579" s="953">
        <v>1</v>
      </c>
      <c r="AU579" s="953">
        <v>1</v>
      </c>
      <c r="AV579" s="953">
        <v>1</v>
      </c>
      <c r="AW579" s="953">
        <v>1</v>
      </c>
      <c r="AX579" s="953">
        <v>1</v>
      </c>
      <c r="AY579" s="953">
        <v>1</v>
      </c>
      <c r="AZ579" s="953">
        <v>1</v>
      </c>
      <c r="BA579" s="953">
        <v>1</v>
      </c>
      <c r="BB579" s="953">
        <v>1</v>
      </c>
      <c r="BC579" s="953">
        <v>1</v>
      </c>
      <c r="BD579" s="953">
        <v>1</v>
      </c>
      <c r="BE579" s="953">
        <v>1</v>
      </c>
      <c r="BF579" s="953">
        <v>1</v>
      </c>
      <c r="BG579" s="953">
        <v>1</v>
      </c>
      <c r="BH579" s="954">
        <v>1</v>
      </c>
      <c r="BI579" s="583"/>
      <c r="BJ579" s="583"/>
      <c r="BK579" s="583"/>
      <c r="BL579" s="583"/>
      <c r="BM579" s="583"/>
      <c r="BN579" s="583"/>
      <c r="BO579" s="583"/>
      <c r="BP579" s="583"/>
      <c r="BQ579" s="583"/>
      <c r="BR579" s="585"/>
      <c r="BS579" s="318"/>
    </row>
    <row r="580" spans="1:71" ht="15" collapsed="1">
      <c r="A580" s="586"/>
      <c r="B580" s="332"/>
      <c r="C580" s="587"/>
      <c r="D580" s="587"/>
      <c r="E580" s="588"/>
      <c r="F580" s="588"/>
      <c r="G580" s="588"/>
      <c r="H580" s="588"/>
      <c r="I580" s="588"/>
      <c r="J580" s="588"/>
      <c r="K580" s="588"/>
      <c r="L580" s="588"/>
      <c r="M580" s="588"/>
      <c r="N580" s="588"/>
      <c r="O580" s="588"/>
      <c r="P580" s="588"/>
      <c r="Q580" s="588"/>
      <c r="R580" s="588"/>
      <c r="S580" s="588"/>
      <c r="T580" s="588"/>
      <c r="U580" s="588"/>
      <c r="V580" s="588"/>
      <c r="W580" s="588"/>
      <c r="X580" s="588"/>
      <c r="Y580" s="588"/>
      <c r="Z580" s="588"/>
      <c r="AA580" s="588"/>
      <c r="AB580" s="588"/>
      <c r="AC580" s="588"/>
      <c r="AD580" s="588"/>
      <c r="AE580" s="588"/>
      <c r="AF580" s="588"/>
      <c r="AG580" s="588"/>
      <c r="AH580" s="588"/>
      <c r="AI580" s="588"/>
      <c r="AJ580" s="588"/>
      <c r="AK580" s="588"/>
      <c r="AL580" s="588"/>
      <c r="AM580" s="588"/>
      <c r="AN580" s="588"/>
      <c r="AO580" s="588"/>
      <c r="AP580" s="588"/>
      <c r="AQ580" s="588"/>
      <c r="AR580" s="588"/>
      <c r="AS580" s="588"/>
      <c r="AT580" s="588"/>
      <c r="AU580" s="588"/>
      <c r="AV580" s="588"/>
      <c r="AW580" s="588"/>
      <c r="AX580" s="588"/>
      <c r="AY580" s="588"/>
      <c r="AZ580" s="588"/>
      <c r="BA580" s="588"/>
      <c r="BB580" s="588"/>
      <c r="BC580" s="588"/>
      <c r="BD580" s="588"/>
      <c r="BE580" s="588"/>
      <c r="BF580" s="588"/>
      <c r="BG580" s="588"/>
      <c r="BH580" s="589"/>
      <c r="BI580" s="588"/>
      <c r="BJ580" s="588"/>
      <c r="BK580" s="588"/>
      <c r="BL580" s="588"/>
      <c r="BM580" s="588"/>
      <c r="BN580" s="588"/>
      <c r="BO580" s="588"/>
      <c r="BP580" s="588"/>
      <c r="BQ580" s="588"/>
      <c r="BR580" s="590"/>
      <c r="BS580" s="318"/>
    </row>
    <row r="581" spans="1:71" ht="15">
      <c r="A581" s="319"/>
      <c r="B581" s="320"/>
      <c r="C581" s="276"/>
      <c r="D581" s="276"/>
      <c r="E581" s="275"/>
      <c r="F581" s="275"/>
      <c r="G581" s="275"/>
      <c r="H581" s="275"/>
      <c r="I581" s="275"/>
      <c r="J581" s="275"/>
      <c r="K581" s="275"/>
      <c r="L581" s="275"/>
      <c r="M581" s="275"/>
      <c r="N581" s="275"/>
      <c r="O581" s="275"/>
      <c r="P581" s="275"/>
      <c r="Q581" s="275"/>
      <c r="R581" s="275"/>
      <c r="S581" s="275"/>
      <c r="T581" s="275"/>
      <c r="U581" s="275"/>
      <c r="V581" s="275"/>
      <c r="W581" s="275"/>
      <c r="X581" s="275"/>
      <c r="Y581" s="275"/>
      <c r="Z581" s="275"/>
      <c r="AA581" s="275"/>
      <c r="AB581" s="275"/>
      <c r="AC581" s="275"/>
      <c r="AD581" s="275"/>
      <c r="AE581" s="275"/>
      <c r="AF581" s="275"/>
      <c r="AG581" s="275"/>
      <c r="AH581" s="275"/>
      <c r="AI581" s="275"/>
      <c r="AJ581" s="275"/>
      <c r="AK581" s="275"/>
      <c r="AL581" s="275"/>
      <c r="AM581" s="275"/>
      <c r="AN581" s="275"/>
      <c r="AO581" s="275"/>
      <c r="AP581" s="275"/>
      <c r="AQ581" s="275"/>
      <c r="AR581" s="275"/>
      <c r="AS581" s="275"/>
      <c r="AT581" s="275"/>
      <c r="AU581" s="275"/>
      <c r="AV581" s="275"/>
      <c r="AW581" s="275"/>
      <c r="AX581" s="275"/>
      <c r="AY581" s="275"/>
      <c r="AZ581" s="275"/>
      <c r="BA581" s="275"/>
      <c r="BB581" s="275"/>
      <c r="BC581" s="275"/>
      <c r="BD581" s="275"/>
      <c r="BE581" s="275"/>
      <c r="BF581" s="275"/>
      <c r="BG581" s="275"/>
      <c r="BH581" s="559"/>
      <c r="BI581" s="275"/>
      <c r="BJ581" s="275"/>
      <c r="BK581" s="275"/>
      <c r="BL581" s="275"/>
      <c r="BM581" s="275"/>
      <c r="BN581" s="275"/>
      <c r="BO581" s="275"/>
      <c r="BP581" s="275"/>
      <c r="BQ581" s="275"/>
      <c r="BR581" s="275"/>
      <c r="BS581" s="816"/>
    </row>
    <row r="582" spans="1:71" s="223" customFormat="1" ht="15">
      <c r="A582" s="222" t="s">
        <v>214</v>
      </c>
      <c r="B582" s="275"/>
      <c r="C582" s="814"/>
      <c r="D582" s="814"/>
      <c r="E582" s="814"/>
      <c r="F582" s="814"/>
      <c r="G582" s="814"/>
      <c r="H582" s="814"/>
      <c r="I582" s="814"/>
      <c r="J582" s="814"/>
      <c r="K582" s="814"/>
      <c r="L582" s="814"/>
      <c r="M582" s="814"/>
      <c r="N582" s="814"/>
      <c r="O582" s="814"/>
      <c r="P582" s="814"/>
      <c r="Q582" s="814"/>
      <c r="R582" s="814"/>
      <c r="S582" s="814"/>
      <c r="T582" s="814"/>
      <c r="U582" s="814"/>
      <c r="V582" s="814"/>
      <c r="W582" s="814"/>
      <c r="X582" s="814"/>
      <c r="Y582" s="814"/>
      <c r="Z582" s="814"/>
      <c r="AA582" s="814"/>
      <c r="AB582" s="814"/>
      <c r="AC582" s="814"/>
      <c r="AD582" s="814"/>
      <c r="AE582" s="814"/>
      <c r="AF582" s="814"/>
      <c r="AG582" s="814"/>
      <c r="AH582" s="814"/>
      <c r="AI582" s="814"/>
      <c r="AJ582" s="814"/>
      <c r="AK582" s="814"/>
      <c r="AL582" s="814"/>
      <c r="AM582" s="814"/>
      <c r="AN582" s="814"/>
      <c r="AO582" s="814"/>
      <c r="AP582" s="814"/>
      <c r="AQ582" s="814"/>
      <c r="AR582" s="814"/>
      <c r="AS582" s="814"/>
      <c r="AT582" s="814"/>
      <c r="AU582" s="814"/>
      <c r="AV582" s="814"/>
      <c r="AW582" s="814"/>
      <c r="AX582" s="814"/>
      <c r="AY582" s="814"/>
      <c r="AZ582" s="814"/>
      <c r="BA582" s="814"/>
      <c r="BB582" s="814"/>
      <c r="BC582" s="814"/>
      <c r="BD582" s="814"/>
      <c r="BE582" s="814"/>
      <c r="BF582" s="814"/>
      <c r="BG582" s="814"/>
      <c r="BH582" s="815"/>
      <c r="BI582" s="814"/>
      <c r="BJ582" s="814"/>
      <c r="BK582" s="814"/>
      <c r="BL582" s="814"/>
      <c r="BM582" s="814"/>
      <c r="BN582" s="814"/>
      <c r="BO582" s="814"/>
      <c r="BP582" s="814"/>
      <c r="BQ582" s="814"/>
      <c r="BR582" s="814"/>
      <c r="BS582" s="816"/>
    </row>
    <row r="583" spans="1:71" s="285" customFormat="1" ht="15">
      <c r="A583" s="291" t="s">
        <v>215</v>
      </c>
      <c r="B583" s="282">
        <f>FP.LastPrice</f>
        <v>104.51000000000001</v>
      </c>
      <c r="C583" s="282"/>
      <c r="D583" s="282"/>
      <c r="E583" s="282"/>
      <c r="F583" s="282"/>
      <c r="G583" s="282"/>
      <c r="H583" s="282"/>
      <c r="I583" s="282"/>
      <c r="J583" s="282"/>
      <c r="K583" s="282"/>
      <c r="L583" s="282"/>
      <c r="M583" s="282"/>
      <c r="N583" s="282"/>
      <c r="O583" s="282"/>
      <c r="P583" s="282"/>
      <c r="Q583" s="282"/>
      <c r="R583" s="282"/>
      <c r="S583" s="282"/>
      <c r="T583" s="282"/>
      <c r="U583" s="282"/>
      <c r="V583" s="282"/>
      <c r="W583" s="282"/>
      <c r="X583" s="282"/>
      <c r="Y583" s="282"/>
      <c r="Z583" s="282"/>
      <c r="AA583" s="282"/>
      <c r="AB583" s="282"/>
      <c r="AC583" s="282"/>
      <c r="AD583" s="282"/>
      <c r="AE583" s="282"/>
      <c r="AF583" s="282"/>
      <c r="AG583" s="282"/>
      <c r="AH583" s="282"/>
      <c r="AI583" s="282"/>
      <c r="AJ583" s="282"/>
      <c r="AK583" s="282"/>
      <c r="AL583" s="282"/>
      <c r="AM583" s="282"/>
      <c r="AN583" s="282"/>
      <c r="AO583" s="282"/>
      <c r="AP583" s="282"/>
      <c r="AQ583" s="282"/>
      <c r="AR583" s="282"/>
      <c r="AS583" s="282"/>
      <c r="AT583" s="282"/>
      <c r="AU583" s="282"/>
      <c r="AV583" s="282"/>
      <c r="AW583" s="282"/>
      <c r="AX583" s="282"/>
      <c r="AY583" s="282"/>
      <c r="AZ583" s="282"/>
      <c r="BA583" s="282"/>
      <c r="BB583" s="282"/>
      <c r="BC583" s="282"/>
      <c r="BD583" s="282"/>
      <c r="BE583" s="282"/>
      <c r="BF583" s="282"/>
      <c r="BG583" s="282"/>
      <c r="BH583" s="560"/>
      <c r="BI583" s="282"/>
      <c r="BJ583" s="282"/>
      <c r="BK583" s="282"/>
      <c r="BL583" s="282"/>
      <c r="BM583" s="282"/>
      <c r="BN583" s="282"/>
      <c r="BO583" s="282"/>
      <c r="BP583" s="282"/>
      <c r="BQ583" s="282"/>
      <c r="BR583" s="282"/>
      <c r="BS583" s="225"/>
    </row>
    <row r="584" spans="1:71" ht="15">
      <c r="A584" s="226" t="s">
        <v>216</v>
      </c>
      <c r="B584" s="573">
        <f>FP.LastPriceDate</f>
        <v>45600</v>
      </c>
      <c r="C584" s="245"/>
      <c r="D584" s="245"/>
      <c r="E584" s="245"/>
      <c r="F584" s="245"/>
      <c r="G584" s="245"/>
      <c r="H584" s="245"/>
      <c r="I584" s="245"/>
      <c r="J584" s="245"/>
      <c r="K584" s="245"/>
      <c r="L584" s="245"/>
      <c r="M584" s="245"/>
      <c r="N584" s="245"/>
      <c r="O584" s="245"/>
      <c r="P584" s="245"/>
      <c r="Q584" s="245"/>
      <c r="R584" s="245"/>
      <c r="S584" s="245"/>
      <c r="T584" s="245"/>
      <c r="U584" s="245"/>
      <c r="V584" s="245"/>
      <c r="W584" s="245"/>
      <c r="X584" s="245"/>
      <c r="Y584" s="245"/>
      <c r="Z584" s="245"/>
      <c r="AA584" s="245"/>
      <c r="AB584" s="245"/>
      <c r="AC584" s="245"/>
      <c r="AD584" s="245"/>
      <c r="AE584" s="245"/>
      <c r="AF584" s="245"/>
      <c r="AG584" s="245"/>
      <c r="AH584" s="245"/>
      <c r="AI584" s="245"/>
      <c r="AJ584" s="245"/>
      <c r="AK584" s="245"/>
      <c r="AL584" s="245"/>
      <c r="AM584" s="245"/>
      <c r="AN584" s="245"/>
      <c r="AO584" s="245"/>
      <c r="AP584" s="245"/>
      <c r="AQ584" s="245"/>
      <c r="AR584" s="245"/>
      <c r="AS584" s="245"/>
      <c r="AT584" s="245"/>
      <c r="AU584" s="245"/>
      <c r="AV584" s="245"/>
      <c r="AW584" s="245"/>
      <c r="AX584" s="245"/>
      <c r="AY584" s="245"/>
      <c r="AZ584" s="245"/>
      <c r="BA584" s="245"/>
      <c r="BB584" s="245"/>
      <c r="BC584" s="245"/>
      <c r="BD584" s="245"/>
      <c r="BE584" s="245"/>
      <c r="BF584" s="245"/>
      <c r="BG584" s="245"/>
      <c r="BH584" s="550"/>
      <c r="BI584" s="245"/>
      <c r="BJ584" s="245"/>
      <c r="BK584" s="245"/>
      <c r="BL584" s="245"/>
      <c r="BM584" s="245"/>
      <c r="BN584" s="245"/>
      <c r="BO584" s="245"/>
      <c r="BP584" s="245"/>
      <c r="BQ584" s="245"/>
      <c r="BR584" s="245"/>
      <c r="BS584" s="227"/>
    </row>
    <row r="585" spans="1:71" ht="15">
      <c r="A585" s="226" t="s">
        <v>217</v>
      </c>
      <c r="B585" s="227" t="b">
        <f>IF(FP.RealTimeToggle="ON",TRUE,FALSE)</f>
        <v>0</v>
      </c>
      <c r="C585" s="245"/>
      <c r="D585" s="245"/>
      <c r="E585" s="245"/>
      <c r="F585" s="245"/>
      <c r="G585" s="245"/>
      <c r="H585" s="245"/>
      <c r="I585" s="245"/>
      <c r="J585" s="245"/>
      <c r="K585" s="245"/>
      <c r="L585" s="245"/>
      <c r="M585" s="245"/>
      <c r="N585" s="245"/>
      <c r="O585" s="245"/>
      <c r="P585" s="245"/>
      <c r="Q585" s="245"/>
      <c r="R585" s="245"/>
      <c r="S585" s="245"/>
      <c r="T585" s="245"/>
      <c r="U585" s="245"/>
      <c r="V585" s="245"/>
      <c r="W585" s="245"/>
      <c r="X585" s="245"/>
      <c r="Y585" s="245"/>
      <c r="Z585" s="245"/>
      <c r="AA585" s="245"/>
      <c r="AB585" s="245"/>
      <c r="AC585" s="245"/>
      <c r="AD585" s="245"/>
      <c r="AE585" s="245"/>
      <c r="AF585" s="245"/>
      <c r="AG585" s="245"/>
      <c r="AH585" s="245"/>
      <c r="AI585" s="245"/>
      <c r="AJ585" s="245"/>
      <c r="AK585" s="245"/>
      <c r="AL585" s="245"/>
      <c r="AM585" s="245"/>
      <c r="AN585" s="245"/>
      <c r="AO585" s="245"/>
      <c r="AP585" s="245"/>
      <c r="AQ585" s="245"/>
      <c r="AR585" s="245"/>
      <c r="AS585" s="245"/>
      <c r="AT585" s="245"/>
      <c r="AU585" s="245"/>
      <c r="AV585" s="245"/>
      <c r="AW585" s="245"/>
      <c r="AX585" s="245"/>
      <c r="AY585" s="245"/>
      <c r="AZ585" s="245"/>
      <c r="BA585" s="245"/>
      <c r="BB585" s="245"/>
      <c r="BC585" s="245"/>
      <c r="BD585" s="245"/>
      <c r="BE585" s="245"/>
      <c r="BF585" s="245"/>
      <c r="BG585" s="245"/>
      <c r="BH585" s="550"/>
      <c r="BI585" s="245"/>
      <c r="BJ585" s="245"/>
      <c r="BK585" s="245"/>
      <c r="BL585" s="245"/>
      <c r="BM585" s="245"/>
      <c r="BN585" s="245"/>
      <c r="BO585" s="245"/>
      <c r="BP585" s="245"/>
      <c r="BQ585" s="245"/>
      <c r="BR585" s="245"/>
      <c r="BS585" s="227"/>
    </row>
    <row r="586" spans="1:71" s="285" customFormat="1" ht="15">
      <c r="A586" s="291" t="s">
        <v>218</v>
      </c>
      <c r="B586" s="225" t="str">
        <f ca="1">IFERROR(CHOOSE(MO.DataSourceIndex,BDP(MO.Ticker.Bloomberg&amp;" EQUITY","LAST_PRICE"),CIQ(MO.Ticker.CapIQ,"IQ_LASTSALEPRICE"),FDS(MO.Ticker.FactSet,"FG_PRICE(NOW)"),_xll.TR(MO.Ticker.Thomson,"TRDPRC_1")),"N/A")</f>
        <v>N/A</v>
      </c>
      <c r="C586" s="282"/>
      <c r="D586" s="282"/>
      <c r="E586" s="282"/>
      <c r="F586" s="282"/>
      <c r="G586" s="282"/>
      <c r="H586" s="282"/>
      <c r="I586" s="282"/>
      <c r="J586" s="282"/>
      <c r="K586" s="282"/>
      <c r="L586" s="282"/>
      <c r="M586" s="282"/>
      <c r="N586" s="282"/>
      <c r="O586" s="282"/>
      <c r="P586" s="282"/>
      <c r="Q586" s="282"/>
      <c r="R586" s="282"/>
      <c r="S586" s="282"/>
      <c r="T586" s="282"/>
      <c r="U586" s="282"/>
      <c r="V586" s="282"/>
      <c r="W586" s="282"/>
      <c r="X586" s="282"/>
      <c r="Y586" s="282"/>
      <c r="Z586" s="282"/>
      <c r="AA586" s="282"/>
      <c r="AB586" s="282"/>
      <c r="AC586" s="282"/>
      <c r="AD586" s="282"/>
      <c r="AE586" s="282"/>
      <c r="AF586" s="282"/>
      <c r="AG586" s="282"/>
      <c r="AH586" s="282"/>
      <c r="AI586" s="282"/>
      <c r="AJ586" s="282"/>
      <c r="AK586" s="282"/>
      <c r="AL586" s="282"/>
      <c r="AM586" s="282"/>
      <c r="AN586" s="282"/>
      <c r="AO586" s="282"/>
      <c r="AP586" s="282"/>
      <c r="AQ586" s="282"/>
      <c r="AR586" s="282"/>
      <c r="AS586" s="282"/>
      <c r="AT586" s="282"/>
      <c r="AU586" s="282"/>
      <c r="AV586" s="282"/>
      <c r="AW586" s="282"/>
      <c r="AX586" s="282"/>
      <c r="AY586" s="282"/>
      <c r="AZ586" s="282"/>
      <c r="BA586" s="282"/>
      <c r="BB586" s="282"/>
      <c r="BC586" s="282"/>
      <c r="BD586" s="282"/>
      <c r="BE586" s="282"/>
      <c r="BF586" s="282"/>
      <c r="BG586" s="282"/>
      <c r="BH586" s="560"/>
      <c r="BI586" s="282"/>
      <c r="BJ586" s="282"/>
      <c r="BK586" s="282"/>
      <c r="BL586" s="282"/>
      <c r="BM586" s="282"/>
      <c r="BN586" s="282"/>
      <c r="BO586" s="282"/>
      <c r="BP586" s="282"/>
      <c r="BQ586" s="282"/>
      <c r="BR586" s="282"/>
      <c r="BS586" s="225"/>
    </row>
    <row r="587" spans="1:71" s="285" customFormat="1" ht="15">
      <c r="A587" s="291" t="s">
        <v>454</v>
      </c>
      <c r="B587" s="225" t="b">
        <f>OR(AND(OR(EXACT(HP.TradeCurrency.HardCoded,"GBp"),EXACT(HP.TradeCurrency.HardCoded,"GBX")),EXACT(HP.ReportCurrency,"GBP")),AND(OR(EXACT(HP.TradeCurrency.HardCoded,"ZAc"),EXACT(HP.TradeCurrency.HardCoded,"ZAC")),EXACT(HP.ReportCurrency,"ZAR")))</f>
        <v>0</v>
      </c>
      <c r="C587" s="282"/>
      <c r="D587" s="282"/>
      <c r="E587" s="282"/>
      <c r="F587" s="282"/>
      <c r="G587" s="282"/>
      <c r="H587" s="282"/>
      <c r="I587" s="282"/>
      <c r="J587" s="282"/>
      <c r="K587" s="282"/>
      <c r="L587" s="282"/>
      <c r="M587" s="282"/>
      <c r="N587" s="282"/>
      <c r="O587" s="282"/>
      <c r="P587" s="282"/>
      <c r="Q587" s="282"/>
      <c r="R587" s="282"/>
      <c r="S587" s="282"/>
      <c r="T587" s="282"/>
      <c r="U587" s="282"/>
      <c r="V587" s="282"/>
      <c r="W587" s="282"/>
      <c r="X587" s="282"/>
      <c r="Y587" s="282"/>
      <c r="Z587" s="282"/>
      <c r="AA587" s="282"/>
      <c r="AB587" s="282"/>
      <c r="AC587" s="282"/>
      <c r="AD587" s="282"/>
      <c r="AE587" s="282"/>
      <c r="AF587" s="282"/>
      <c r="AG587" s="282"/>
      <c r="AH587" s="282"/>
      <c r="AI587" s="282"/>
      <c r="AJ587" s="282"/>
      <c r="AK587" s="282"/>
      <c r="AL587" s="282"/>
      <c r="AM587" s="282"/>
      <c r="AN587" s="282"/>
      <c r="AO587" s="282"/>
      <c r="AP587" s="282"/>
      <c r="AQ587" s="282"/>
      <c r="AR587" s="282"/>
      <c r="AS587" s="282"/>
      <c r="AT587" s="282"/>
      <c r="AU587" s="282"/>
      <c r="AV587" s="282"/>
      <c r="AW587" s="282"/>
      <c r="AX587" s="282"/>
      <c r="AY587" s="282"/>
      <c r="AZ587" s="282"/>
      <c r="BA587" s="282"/>
      <c r="BB587" s="282"/>
      <c r="BC587" s="282"/>
      <c r="BD587" s="282"/>
      <c r="BE587" s="282"/>
      <c r="BF587" s="282"/>
      <c r="BG587" s="282"/>
      <c r="BH587" s="560"/>
      <c r="BI587" s="282"/>
      <c r="BJ587" s="282"/>
      <c r="BK587" s="282"/>
      <c r="BL587" s="282"/>
      <c r="BM587" s="282"/>
      <c r="BN587" s="282"/>
      <c r="BO587" s="282"/>
      <c r="BP587" s="282"/>
      <c r="BQ587" s="282"/>
      <c r="BR587" s="282"/>
      <c r="BS587" s="225"/>
    </row>
    <row r="588" spans="1:71" s="285" customFormat="1" ht="15">
      <c r="A588" s="291" t="s">
        <v>219</v>
      </c>
      <c r="B588" s="225" t="str">
        <f ca="1">IFERROR(CHOOSE(MO.DataSourceIndex,BDP(HP.Ticker&amp;" Equity","CRNCY"),CIQ(HP.Ticker,"IQ_TRADING_CURRENCY"),FDS(HP.Ticker,"P_CURRENCY(""ISO"")"),_xll.TR(HP.Ticker,"Currency")),HP.TradeCurrency.HardCoded)</f>
        <v>USD</v>
      </c>
      <c r="C588" s="282"/>
      <c r="D588" s="282"/>
      <c r="E588" s="282"/>
      <c r="F588" s="282"/>
      <c r="G588" s="282"/>
      <c r="H588" s="282"/>
      <c r="I588" s="282"/>
      <c r="J588" s="282"/>
      <c r="K588" s="282"/>
      <c r="L588" s="282"/>
      <c r="M588" s="282"/>
      <c r="N588" s="282"/>
      <c r="O588" s="282"/>
      <c r="P588" s="282"/>
      <c r="Q588" s="282"/>
      <c r="R588" s="282"/>
      <c r="S588" s="282"/>
      <c r="T588" s="282"/>
      <c r="U588" s="282"/>
      <c r="V588" s="282"/>
      <c r="W588" s="282"/>
      <c r="X588" s="282"/>
      <c r="Y588" s="282"/>
      <c r="Z588" s="282"/>
      <c r="AA588" s="282"/>
      <c r="AB588" s="282"/>
      <c r="AC588" s="282"/>
      <c r="AD588" s="282"/>
      <c r="AE588" s="282"/>
      <c r="AF588" s="282"/>
      <c r="AG588" s="282"/>
      <c r="AH588" s="282"/>
      <c r="AI588" s="282"/>
      <c r="AJ588" s="282"/>
      <c r="AK588" s="282"/>
      <c r="AL588" s="282"/>
      <c r="AM588" s="282"/>
      <c r="AN588" s="282"/>
      <c r="AO588" s="282"/>
      <c r="AP588" s="282"/>
      <c r="AQ588" s="282"/>
      <c r="AR588" s="282"/>
      <c r="AS588" s="282"/>
      <c r="AT588" s="282"/>
      <c r="AU588" s="282"/>
      <c r="AV588" s="282"/>
      <c r="AW588" s="282"/>
      <c r="AX588" s="282"/>
      <c r="AY588" s="282"/>
      <c r="AZ588" s="282"/>
      <c r="BA588" s="282"/>
      <c r="BB588" s="282"/>
      <c r="BC588" s="282"/>
      <c r="BD588" s="282"/>
      <c r="BE588" s="282"/>
      <c r="BF588" s="282"/>
      <c r="BG588" s="282"/>
      <c r="BH588" s="560"/>
      <c r="BI588" s="282"/>
      <c r="BJ588" s="282"/>
      <c r="BK588" s="282"/>
      <c r="BL588" s="282"/>
      <c r="BM588" s="282"/>
      <c r="BN588" s="282"/>
      <c r="BO588" s="282"/>
      <c r="BP588" s="282"/>
      <c r="BQ588" s="282"/>
      <c r="BR588" s="282"/>
      <c r="BS588" s="225"/>
    </row>
    <row r="589" spans="1:71" s="285" customFormat="1" ht="15">
      <c r="A589" s="291" t="s">
        <v>220</v>
      </c>
      <c r="B589" s="950" t="s">
        <v>11</v>
      </c>
      <c r="C589" s="282"/>
      <c r="D589" s="282"/>
      <c r="E589" s="282"/>
      <c r="F589" s="282"/>
      <c r="G589" s="282"/>
      <c r="H589" s="282"/>
      <c r="I589" s="282"/>
      <c r="J589" s="282"/>
      <c r="K589" s="282"/>
      <c r="L589" s="282"/>
      <c r="M589" s="282"/>
      <c r="N589" s="282"/>
      <c r="O589" s="282"/>
      <c r="P589" s="282"/>
      <c r="Q589" s="282"/>
      <c r="R589" s="282"/>
      <c r="S589" s="282"/>
      <c r="T589" s="282"/>
      <c r="U589" s="282"/>
      <c r="V589" s="282"/>
      <c r="W589" s="282"/>
      <c r="X589" s="282"/>
      <c r="Y589" s="282"/>
      <c r="Z589" s="282"/>
      <c r="AA589" s="282"/>
      <c r="AB589" s="282"/>
      <c r="AC589" s="282"/>
      <c r="AD589" s="282"/>
      <c r="AE589" s="282"/>
      <c r="AF589" s="282"/>
      <c r="AG589" s="282"/>
      <c r="AH589" s="282"/>
      <c r="AI589" s="282"/>
      <c r="AJ589" s="282"/>
      <c r="AK589" s="282"/>
      <c r="AL589" s="282"/>
      <c r="AM589" s="282"/>
      <c r="AN589" s="282"/>
      <c r="AO589" s="282"/>
      <c r="AP589" s="282"/>
      <c r="AQ589" s="282"/>
      <c r="AR589" s="282"/>
      <c r="AS589" s="282"/>
      <c r="AT589" s="282"/>
      <c r="AU589" s="282"/>
      <c r="AV589" s="282"/>
      <c r="AW589" s="282"/>
      <c r="AX589" s="282"/>
      <c r="AY589" s="282"/>
      <c r="AZ589" s="282"/>
      <c r="BA589" s="282"/>
      <c r="BB589" s="282"/>
      <c r="BC589" s="282"/>
      <c r="BD589" s="282"/>
      <c r="BE589" s="282"/>
      <c r="BF589" s="282"/>
      <c r="BG589" s="282"/>
      <c r="BH589" s="560"/>
      <c r="BI589" s="282"/>
      <c r="BJ589" s="282"/>
      <c r="BK589" s="282"/>
      <c r="BL589" s="282"/>
      <c r="BM589" s="282"/>
      <c r="BN589" s="282"/>
      <c r="BO589" s="282"/>
      <c r="BP589" s="282"/>
      <c r="BQ589" s="282"/>
      <c r="BR589" s="282"/>
      <c r="BS589" s="225"/>
    </row>
    <row r="590" spans="1:71" s="285" customFormat="1" ht="15">
      <c r="A590" s="291" t="s">
        <v>221</v>
      </c>
      <c r="B590" s="950" t="s">
        <v>11</v>
      </c>
      <c r="C590" s="282"/>
      <c r="D590" s="282"/>
      <c r="E590" s="282"/>
      <c r="F590" s="282"/>
      <c r="G590" s="282"/>
      <c r="H590" s="282"/>
      <c r="I590" s="282"/>
      <c r="J590" s="282"/>
      <c r="K590" s="282"/>
      <c r="L590" s="282"/>
      <c r="M590" s="282"/>
      <c r="N590" s="282"/>
      <c r="O590" s="282"/>
      <c r="P590" s="282"/>
      <c r="Q590" s="282"/>
      <c r="R590" s="282"/>
      <c r="S590" s="282"/>
      <c r="T590" s="282"/>
      <c r="U590" s="282"/>
      <c r="V590" s="282"/>
      <c r="W590" s="282"/>
      <c r="X590" s="282"/>
      <c r="Y590" s="282"/>
      <c r="Z590" s="282"/>
      <c r="AA590" s="282"/>
      <c r="AB590" s="282"/>
      <c r="AC590" s="282"/>
      <c r="AD590" s="282"/>
      <c r="AE590" s="282"/>
      <c r="AF590" s="282"/>
      <c r="AG590" s="282"/>
      <c r="AH590" s="282"/>
      <c r="AI590" s="282"/>
      <c r="AJ590" s="282"/>
      <c r="AK590" s="282"/>
      <c r="AL590" s="282"/>
      <c r="AM590" s="282"/>
      <c r="AN590" s="282"/>
      <c r="AO590" s="282"/>
      <c r="AP590" s="282"/>
      <c r="AQ590" s="282"/>
      <c r="AR590" s="282"/>
      <c r="AS590" s="282"/>
      <c r="AT590" s="282"/>
      <c r="AU590" s="282"/>
      <c r="AV590" s="282"/>
      <c r="AW590" s="282"/>
      <c r="AX590" s="282"/>
      <c r="AY590" s="282"/>
      <c r="AZ590" s="282"/>
      <c r="BA590" s="282"/>
      <c r="BB590" s="282"/>
      <c r="BC590" s="282"/>
      <c r="BD590" s="282"/>
      <c r="BE590" s="282"/>
      <c r="BF590" s="282"/>
      <c r="BG590" s="282"/>
      <c r="BH590" s="560"/>
      <c r="BI590" s="282"/>
      <c r="BJ590" s="282"/>
      <c r="BK590" s="282"/>
      <c r="BL590" s="282"/>
      <c r="BM590" s="282"/>
      <c r="BN590" s="282"/>
      <c r="BO590" s="282"/>
      <c r="BP590" s="282"/>
      <c r="BQ590" s="282"/>
      <c r="BR590" s="282"/>
      <c r="BS590" s="225"/>
    </row>
    <row r="591" spans="1:71" s="285" customFormat="1" ht="15">
      <c r="A591" s="291" t="s">
        <v>222</v>
      </c>
      <c r="B591" s="288">
        <f ca="1">IF(EXACT(MO.ReportFX,HP.TradeCurrency),1,IF(OR(INDEX(MO_SPT_FXAverage,1,MO.MRFPColumnNumber+1)="N/A",ISERROR(INDEX(MO_SPT_FXAverage,1,MO.MRFPColumnNumber+1))),MO.MRFX.Hardcoded,INDEX(MO_SPT_FXAverage,1,MO.MRFPColumnNumber+1)))</f>
        <v>1</v>
      </c>
      <c r="C591" s="282"/>
      <c r="D591" s="282"/>
      <c r="E591" s="282"/>
      <c r="F591" s="282"/>
      <c r="G591" s="282"/>
      <c r="H591" s="282"/>
      <c r="I591" s="282"/>
      <c r="J591" s="282"/>
      <c r="K591" s="282"/>
      <c r="L591" s="282"/>
      <c r="M591" s="282"/>
      <c r="N591" s="282"/>
      <c r="O591" s="282"/>
      <c r="P591" s="282"/>
      <c r="Q591" s="282"/>
      <c r="R591" s="282"/>
      <c r="S591" s="282"/>
      <c r="T591" s="282"/>
      <c r="U591" s="282"/>
      <c r="V591" s="282"/>
      <c r="W591" s="282"/>
      <c r="X591" s="282"/>
      <c r="Y591" s="282"/>
      <c r="Z591" s="282"/>
      <c r="AA591" s="282"/>
      <c r="AB591" s="282"/>
      <c r="AC591" s="282"/>
      <c r="AD591" s="282"/>
      <c r="AE591" s="282"/>
      <c r="AF591" s="282"/>
      <c r="AG591" s="282"/>
      <c r="AH591" s="282"/>
      <c r="AI591" s="282"/>
      <c r="AJ591" s="282"/>
      <c r="AK591" s="282"/>
      <c r="AL591" s="282"/>
      <c r="AM591" s="282"/>
      <c r="AN591" s="282"/>
      <c r="AO591" s="282"/>
      <c r="AP591" s="282"/>
      <c r="AQ591" s="282"/>
      <c r="AR591" s="282"/>
      <c r="AS591" s="282"/>
      <c r="AT591" s="282"/>
      <c r="AU591" s="282"/>
      <c r="AV591" s="282"/>
      <c r="AW591" s="282"/>
      <c r="AX591" s="282"/>
      <c r="AY591" s="282"/>
      <c r="AZ591" s="282"/>
      <c r="BA591" s="282"/>
      <c r="BB591" s="282"/>
      <c r="BC591" s="282"/>
      <c r="BD591" s="282"/>
      <c r="BE591" s="282"/>
      <c r="BF591" s="282"/>
      <c r="BG591" s="282"/>
      <c r="BH591" s="560"/>
      <c r="BI591" s="282"/>
      <c r="BJ591" s="282"/>
      <c r="BK591" s="282"/>
      <c r="BL591" s="282"/>
      <c r="BM591" s="282"/>
      <c r="BN591" s="282"/>
      <c r="BO591" s="282"/>
      <c r="BP591" s="282"/>
      <c r="BQ591" s="282"/>
      <c r="BR591" s="282"/>
      <c r="BS591" s="225"/>
    </row>
    <row r="592" spans="1:71" s="285" customFormat="1" ht="15">
      <c r="A592" s="291" t="s">
        <v>223</v>
      </c>
      <c r="B592" s="953">
        <v>1</v>
      </c>
      <c r="C592" s="282"/>
      <c r="D592" s="282"/>
      <c r="E592" s="282"/>
      <c r="F592" s="282"/>
      <c r="G592" s="282"/>
      <c r="H592" s="282"/>
      <c r="I592" s="282"/>
      <c r="J592" s="282"/>
      <c r="K592" s="282"/>
      <c r="L592" s="282"/>
      <c r="M592" s="282"/>
      <c r="N592" s="282"/>
      <c r="O592" s="282"/>
      <c r="P592" s="282"/>
      <c r="Q592" s="282"/>
      <c r="R592" s="282"/>
      <c r="S592" s="282"/>
      <c r="T592" s="282"/>
      <c r="U592" s="282"/>
      <c r="V592" s="282"/>
      <c r="W592" s="282"/>
      <c r="X592" s="282"/>
      <c r="Y592" s="282"/>
      <c r="Z592" s="282"/>
      <c r="AA592" s="282"/>
      <c r="AB592" s="282"/>
      <c r="AC592" s="282"/>
      <c r="AD592" s="282"/>
      <c r="AE592" s="282"/>
      <c r="AF592" s="282"/>
      <c r="AG592" s="282"/>
      <c r="AH592" s="282"/>
      <c r="AI592" s="282"/>
      <c r="AJ592" s="282"/>
      <c r="AK592" s="282"/>
      <c r="AL592" s="282"/>
      <c r="AM592" s="282"/>
      <c r="AN592" s="282"/>
      <c r="AO592" s="282"/>
      <c r="AP592" s="282"/>
      <c r="AQ592" s="282"/>
      <c r="AR592" s="282"/>
      <c r="AS592" s="282"/>
      <c r="AT592" s="282"/>
      <c r="AU592" s="282"/>
      <c r="AV592" s="282"/>
      <c r="AW592" s="282"/>
      <c r="AX592" s="282"/>
      <c r="AY592" s="282"/>
      <c r="AZ592" s="282"/>
      <c r="BA592" s="282"/>
      <c r="BB592" s="282"/>
      <c r="BC592" s="282"/>
      <c r="BD592" s="282"/>
      <c r="BE592" s="282"/>
      <c r="BF592" s="282"/>
      <c r="BG592" s="282"/>
      <c r="BH592" s="560"/>
      <c r="BI592" s="282"/>
      <c r="BJ592" s="282"/>
      <c r="BK592" s="282"/>
      <c r="BL592" s="282"/>
      <c r="BM592" s="282"/>
      <c r="BN592" s="282"/>
      <c r="BO592" s="282"/>
      <c r="BP592" s="282"/>
      <c r="BQ592" s="282"/>
      <c r="BR592" s="282"/>
      <c r="BS592" s="225"/>
    </row>
    <row r="593" spans="1:71" s="224" customFormat="1" ht="15">
      <c r="A593" s="228" t="s">
        <v>224</v>
      </c>
      <c r="B593" s="229">
        <f>MATCH(MO.MRFP,MO_Common_ColumnHeader,0)</f>
        <v>60</v>
      </c>
      <c r="C593" s="176"/>
      <c r="D593" s="176"/>
      <c r="E593" s="176"/>
      <c r="F593" s="176"/>
      <c r="G593" s="176"/>
      <c r="H593" s="176"/>
      <c r="I593" s="176"/>
      <c r="J593" s="176"/>
      <c r="K593" s="176"/>
      <c r="L593" s="176"/>
      <c r="M593" s="176"/>
      <c r="N593" s="176"/>
      <c r="O593" s="176"/>
      <c r="P593" s="176"/>
      <c r="Q593" s="176"/>
      <c r="R593" s="176"/>
      <c r="S593" s="176"/>
      <c r="T593" s="176"/>
      <c r="U593" s="176"/>
      <c r="V593" s="176"/>
      <c r="W593" s="176"/>
      <c r="X593" s="176"/>
      <c r="Y593" s="176"/>
      <c r="Z593" s="176"/>
      <c r="AA593" s="176"/>
      <c r="AB593" s="176"/>
      <c r="AC593" s="176"/>
      <c r="AD593" s="176"/>
      <c r="AE593" s="176"/>
      <c r="AF593" s="176"/>
      <c r="AG593" s="176"/>
      <c r="AH593" s="176"/>
      <c r="AI593" s="176"/>
      <c r="AJ593" s="176"/>
      <c r="AK593" s="176"/>
      <c r="AL593" s="176"/>
      <c r="AM593" s="176"/>
      <c r="AN593" s="176"/>
      <c r="AO593" s="176"/>
      <c r="AP593" s="176"/>
      <c r="AQ593" s="176"/>
      <c r="AR593" s="176"/>
      <c r="AS593" s="176"/>
      <c r="AT593" s="176"/>
      <c r="AU593" s="176"/>
      <c r="AV593" s="176"/>
      <c r="AW593" s="176"/>
      <c r="AX593" s="176"/>
      <c r="AY593" s="176"/>
      <c r="AZ593" s="176"/>
      <c r="BA593" s="176"/>
      <c r="BB593" s="176"/>
      <c r="BC593" s="176"/>
      <c r="BD593" s="176"/>
      <c r="BE593" s="176"/>
      <c r="BF593" s="176"/>
      <c r="BG593" s="176"/>
      <c r="BH593" s="551"/>
      <c r="BI593" s="176"/>
      <c r="BJ593" s="176"/>
      <c r="BK593" s="176"/>
      <c r="BL593" s="176"/>
      <c r="BM593" s="176"/>
      <c r="BN593" s="176"/>
      <c r="BO593" s="176"/>
      <c r="BP593" s="176"/>
      <c r="BQ593" s="176"/>
      <c r="BR593" s="176"/>
      <c r="BS593" s="229"/>
    </row>
    <row r="594" spans="1:71" s="224" customFormat="1" ht="15">
      <c r="A594" s="228" t="s">
        <v>225</v>
      </c>
      <c r="B594" s="891" t="s">
        <v>521</v>
      </c>
      <c r="C594" s="176"/>
      <c r="D594" s="176"/>
      <c r="E594" s="176"/>
      <c r="F594" s="176"/>
      <c r="G594" s="176"/>
      <c r="H594" s="176"/>
      <c r="I594" s="176"/>
      <c r="J594" s="176"/>
      <c r="K594" s="176"/>
      <c r="L594" s="176"/>
      <c r="M594" s="176"/>
      <c r="N594" s="176"/>
      <c r="O594" s="176"/>
      <c r="P594" s="176"/>
      <c r="Q594" s="176"/>
      <c r="R594" s="176"/>
      <c r="S594" s="176"/>
      <c r="T594" s="176"/>
      <c r="U594" s="176"/>
      <c r="V594" s="176"/>
      <c r="W594" s="176"/>
      <c r="X594" s="176"/>
      <c r="Y594" s="176"/>
      <c r="Z594" s="176"/>
      <c r="AA594" s="176"/>
      <c r="AB594" s="176"/>
      <c r="AC594" s="176"/>
      <c r="AD594" s="176"/>
      <c r="AE594" s="176"/>
      <c r="AF594" s="176"/>
      <c r="AG594" s="176"/>
      <c r="AH594" s="176"/>
      <c r="AI594" s="176"/>
      <c r="AJ594" s="176"/>
      <c r="AK594" s="176"/>
      <c r="AL594" s="176"/>
      <c r="AM594" s="176"/>
      <c r="AN594" s="176"/>
      <c r="AO594" s="176"/>
      <c r="AP594" s="176"/>
      <c r="AQ594" s="176"/>
      <c r="AR594" s="176"/>
      <c r="AS594" s="176"/>
      <c r="AT594" s="176"/>
      <c r="AU594" s="176"/>
      <c r="AV594" s="176"/>
      <c r="AW594" s="176"/>
      <c r="AX594" s="176"/>
      <c r="AY594" s="176"/>
      <c r="AZ594" s="176"/>
      <c r="BA594" s="176"/>
      <c r="BB594" s="176"/>
      <c r="BC594" s="176"/>
      <c r="BD594" s="176"/>
      <c r="BE594" s="176"/>
      <c r="BF594" s="176"/>
      <c r="BG594" s="176"/>
      <c r="BH594" s="551"/>
      <c r="BI594" s="176"/>
      <c r="BJ594" s="176"/>
      <c r="BK594" s="176"/>
      <c r="BL594" s="176"/>
      <c r="BM594" s="176"/>
      <c r="BN594" s="176"/>
      <c r="BO594" s="176"/>
      <c r="BP594" s="176"/>
      <c r="BQ594" s="176"/>
      <c r="BR594" s="176"/>
      <c r="BS594" s="229"/>
    </row>
    <row r="595" spans="1:71" s="224" customFormat="1" ht="15">
      <c r="A595" s="228" t="s">
        <v>226</v>
      </c>
      <c r="B595" s="229" t="str">
        <f>"FY"&amp;RIGHT(MO.MRFP,4)</f>
        <v>FY2024</v>
      </c>
      <c r="C595" s="176"/>
      <c r="D595" s="176"/>
      <c r="E595" s="176"/>
      <c r="F595" s="176"/>
      <c r="G595" s="176"/>
      <c r="H595" s="176"/>
      <c r="I595" s="176"/>
      <c r="J595" s="176"/>
      <c r="K595" s="176"/>
      <c r="L595" s="176"/>
      <c r="M595" s="176"/>
      <c r="N595" s="176"/>
      <c r="O595" s="176"/>
      <c r="P595" s="176"/>
      <c r="Q595" s="176"/>
      <c r="R595" s="176"/>
      <c r="S595" s="176"/>
      <c r="T595" s="176"/>
      <c r="U595" s="176"/>
      <c r="V595" s="176"/>
      <c r="W595" s="176"/>
      <c r="X595" s="176"/>
      <c r="Y595" s="176"/>
      <c r="Z595" s="176"/>
      <c r="AA595" s="176"/>
      <c r="AB595" s="176"/>
      <c r="AC595" s="176"/>
      <c r="AD595" s="176"/>
      <c r="AE595" s="176"/>
      <c r="AF595" s="176"/>
      <c r="AG595" s="176"/>
      <c r="AH595" s="176"/>
      <c r="AI595" s="176"/>
      <c r="AJ595" s="176"/>
      <c r="AK595" s="176"/>
      <c r="AL595" s="176"/>
      <c r="AM595" s="176"/>
      <c r="AN595" s="176"/>
      <c r="AO595" s="176"/>
      <c r="AP595" s="176"/>
      <c r="AQ595" s="176"/>
      <c r="AR595" s="176"/>
      <c r="AS595" s="176"/>
      <c r="AT595" s="176"/>
      <c r="AU595" s="176"/>
      <c r="AV595" s="176"/>
      <c r="AW595" s="176"/>
      <c r="AX595" s="176"/>
      <c r="AY595" s="176"/>
      <c r="AZ595" s="176"/>
      <c r="BA595" s="176"/>
      <c r="BB595" s="176"/>
      <c r="BC595" s="176"/>
      <c r="BD595" s="176"/>
      <c r="BE595" s="176"/>
      <c r="BF595" s="176"/>
      <c r="BG595" s="176"/>
      <c r="BH595" s="551"/>
      <c r="BI595" s="176"/>
      <c r="BJ595" s="176"/>
      <c r="BK595" s="176"/>
      <c r="BL595" s="176"/>
      <c r="BM595" s="176"/>
      <c r="BN595" s="176"/>
      <c r="BO595" s="176"/>
      <c r="BP595" s="176"/>
      <c r="BQ595" s="176"/>
      <c r="BR595" s="176"/>
      <c r="BS595" s="229"/>
    </row>
    <row r="596" spans="1:71" s="224" customFormat="1" ht="15">
      <c r="A596" s="228" t="s">
        <v>292</v>
      </c>
      <c r="B596" s="229" t="str">
        <f>"FY"&amp;RIGHT(MO.MRFP,4)+IF(LEFT(MO.MRFP,2)="FY",1,0)</f>
        <v>FY2024</v>
      </c>
      <c r="C596" s="176"/>
      <c r="D596" s="176"/>
      <c r="E596" s="176"/>
      <c r="F596" s="176"/>
      <c r="G596" s="176"/>
      <c r="H596" s="176"/>
      <c r="I596" s="176"/>
      <c r="J596" s="176"/>
      <c r="K596" s="176"/>
      <c r="L596" s="176"/>
      <c r="M596" s="176"/>
      <c r="N596" s="176"/>
      <c r="O596" s="176"/>
      <c r="P596" s="176"/>
      <c r="Q596" s="176"/>
      <c r="R596" s="176"/>
      <c r="S596" s="176"/>
      <c r="T596" s="176"/>
      <c r="U596" s="176"/>
      <c r="V596" s="176"/>
      <c r="W596" s="176"/>
      <c r="X596" s="176"/>
      <c r="Y596" s="176"/>
      <c r="Z596" s="176"/>
      <c r="AA596" s="176"/>
      <c r="AB596" s="176"/>
      <c r="AC596" s="176"/>
      <c r="AD596" s="176"/>
      <c r="AE596" s="176"/>
      <c r="AF596" s="176"/>
      <c r="AG596" s="176"/>
      <c r="AH596" s="176"/>
      <c r="AI596" s="176"/>
      <c r="AJ596" s="176"/>
      <c r="AK596" s="176"/>
      <c r="AL596" s="176"/>
      <c r="AM596" s="176"/>
      <c r="AN596" s="176"/>
      <c r="AO596" s="176"/>
      <c r="AP596" s="176"/>
      <c r="AQ596" s="176"/>
      <c r="AR596" s="176"/>
      <c r="AS596" s="176"/>
      <c r="AT596" s="176"/>
      <c r="AU596" s="176"/>
      <c r="AV596" s="176"/>
      <c r="AW596" s="176"/>
      <c r="AX596" s="176"/>
      <c r="AY596" s="176"/>
      <c r="AZ596" s="176"/>
      <c r="BA596" s="176"/>
      <c r="BB596" s="176"/>
      <c r="BC596" s="176"/>
      <c r="BD596" s="176"/>
      <c r="BE596" s="176"/>
      <c r="BF596" s="176"/>
      <c r="BG596" s="176"/>
      <c r="BH596" s="551"/>
      <c r="BI596" s="176"/>
      <c r="BJ596" s="176"/>
      <c r="BK596" s="176"/>
      <c r="BL596" s="176"/>
      <c r="BM596" s="176"/>
      <c r="BN596" s="176"/>
      <c r="BO596" s="176"/>
      <c r="BP596" s="176"/>
      <c r="BQ596" s="176"/>
      <c r="BR596" s="176"/>
      <c r="BS596" s="229"/>
    </row>
    <row r="597" spans="1:71" s="224" customFormat="1" ht="15">
      <c r="A597" s="228" t="s">
        <v>453</v>
      </c>
      <c r="B597" s="229">
        <f>COUNTA(tb_KPIs)-1</f>
        <v>20</v>
      </c>
      <c r="C597" s="176"/>
      <c r="D597" s="176"/>
      <c r="E597" s="176"/>
      <c r="F597" s="176"/>
      <c r="G597" s="176"/>
      <c r="H597" s="176"/>
      <c r="I597" s="176"/>
      <c r="J597" s="176"/>
      <c r="K597" s="176"/>
      <c r="L597" s="176"/>
      <c r="M597" s="176"/>
      <c r="N597" s="176"/>
      <c r="O597" s="176"/>
      <c r="P597" s="176"/>
      <c r="Q597" s="176"/>
      <c r="R597" s="176"/>
      <c r="S597" s="176"/>
      <c r="T597" s="176"/>
      <c r="U597" s="176"/>
      <c r="V597" s="176"/>
      <c r="W597" s="176"/>
      <c r="X597" s="176"/>
      <c r="Y597" s="176"/>
      <c r="Z597" s="176"/>
      <c r="AA597" s="176"/>
      <c r="AB597" s="176"/>
      <c r="AC597" s="176"/>
      <c r="AD597" s="176"/>
      <c r="AE597" s="176"/>
      <c r="AF597" s="176"/>
      <c r="AG597" s="176"/>
      <c r="AH597" s="176"/>
      <c r="AI597" s="176"/>
      <c r="AJ597" s="176"/>
      <c r="AK597" s="176"/>
      <c r="AL597" s="176"/>
      <c r="AM597" s="176"/>
      <c r="AN597" s="176"/>
      <c r="AO597" s="176"/>
      <c r="AP597" s="176"/>
      <c r="AQ597" s="176"/>
      <c r="AR597" s="176"/>
      <c r="AS597" s="176"/>
      <c r="AT597" s="176"/>
      <c r="AU597" s="176"/>
      <c r="AV597" s="176"/>
      <c r="AW597" s="176"/>
      <c r="AX597" s="176"/>
      <c r="AY597" s="176"/>
      <c r="AZ597" s="176"/>
      <c r="BA597" s="176"/>
      <c r="BB597" s="176"/>
      <c r="BC597" s="176"/>
      <c r="BD597" s="176"/>
      <c r="BE597" s="176"/>
      <c r="BF597" s="176"/>
      <c r="BG597" s="176"/>
      <c r="BH597" s="551"/>
      <c r="BI597" s="176"/>
      <c r="BJ597" s="176"/>
      <c r="BK597" s="176"/>
      <c r="BL597" s="176"/>
      <c r="BM597" s="176"/>
      <c r="BN597" s="176"/>
      <c r="BO597" s="176"/>
      <c r="BP597" s="176"/>
      <c r="BQ597" s="176"/>
      <c r="BR597" s="176"/>
      <c r="BS597" s="229"/>
    </row>
    <row r="598" spans="1:71" s="224" customFormat="1" ht="15">
      <c r="A598" s="230" t="s">
        <v>227</v>
      </c>
      <c r="B598" s="231">
        <f>IF(MO.DataSourceName="Bloomberg",1,IF(MO.DataSourceName="Capital IQ",2,IF(MO.DataSourceName="FactSet",3,IF(MO.DataSourceName="Refinitiv",4,1))))</f>
        <v>1</v>
      </c>
      <c r="C598" s="176"/>
      <c r="D598" s="176"/>
      <c r="E598" s="176"/>
      <c r="F598" s="176"/>
      <c r="G598" s="176"/>
      <c r="H598" s="176"/>
      <c r="I598" s="176"/>
      <c r="J598" s="176"/>
      <c r="K598" s="176"/>
      <c r="L598" s="176"/>
      <c r="M598" s="176"/>
      <c r="N598" s="176"/>
      <c r="O598" s="176"/>
      <c r="P598" s="176"/>
      <c r="Q598" s="176"/>
      <c r="R598" s="176"/>
      <c r="S598" s="176"/>
      <c r="T598" s="176"/>
      <c r="U598" s="176"/>
      <c r="V598" s="176"/>
      <c r="W598" s="176"/>
      <c r="X598" s="176"/>
      <c r="Y598" s="176"/>
      <c r="Z598" s="176"/>
      <c r="AA598" s="176"/>
      <c r="AB598" s="176"/>
      <c r="AC598" s="176"/>
      <c r="AD598" s="176"/>
      <c r="AE598" s="176"/>
      <c r="AF598" s="176"/>
      <c r="AG598" s="176"/>
      <c r="AH598" s="176"/>
      <c r="AI598" s="176"/>
      <c r="AJ598" s="176"/>
      <c r="AK598" s="176"/>
      <c r="AL598" s="176"/>
      <c r="AM598" s="176"/>
      <c r="AN598" s="176"/>
      <c r="AO598" s="176"/>
      <c r="AP598" s="176"/>
      <c r="AQ598" s="176"/>
      <c r="AR598" s="176"/>
      <c r="AS598" s="176"/>
      <c r="AT598" s="176"/>
      <c r="AU598" s="176"/>
      <c r="AV598" s="176"/>
      <c r="AW598" s="176"/>
      <c r="AX598" s="176"/>
      <c r="AY598" s="176"/>
      <c r="AZ598" s="176"/>
      <c r="BA598" s="176"/>
      <c r="BB598" s="176"/>
      <c r="BC598" s="176"/>
      <c r="BD598" s="176"/>
      <c r="BE598" s="176"/>
      <c r="BF598" s="176"/>
      <c r="BG598" s="176"/>
      <c r="BH598" s="551"/>
      <c r="BI598" s="176"/>
      <c r="BJ598" s="176"/>
      <c r="BK598" s="176"/>
      <c r="BL598" s="176"/>
      <c r="BM598" s="176"/>
      <c r="BN598" s="176"/>
      <c r="BO598" s="176"/>
      <c r="BP598" s="176"/>
      <c r="BQ598" s="176"/>
      <c r="BR598" s="176"/>
      <c r="BS598" s="229"/>
    </row>
    <row r="599" spans="1:71" ht="15">
      <c r="A599" s="277"/>
      <c r="B599" s="277"/>
      <c r="C599" s="245"/>
      <c r="D599" s="245"/>
      <c r="E599" s="245"/>
      <c r="F599" s="245"/>
      <c r="G599" s="245"/>
      <c r="H599" s="245"/>
      <c r="I599" s="245"/>
      <c r="J599" s="245"/>
      <c r="K599" s="245"/>
      <c r="L599" s="245"/>
      <c r="M599" s="245"/>
      <c r="N599" s="245"/>
      <c r="O599" s="245"/>
      <c r="P599" s="245"/>
      <c r="Q599" s="245"/>
      <c r="R599" s="245"/>
      <c r="S599" s="245"/>
      <c r="T599" s="245"/>
      <c r="U599" s="245"/>
      <c r="V599" s="245"/>
      <c r="W599" s="245"/>
      <c r="X599" s="245"/>
      <c r="Y599" s="245"/>
      <c r="Z599" s="245"/>
      <c r="AA599" s="245"/>
      <c r="AB599" s="245"/>
      <c r="AC599" s="245"/>
      <c r="AD599" s="245"/>
      <c r="AE599" s="245"/>
      <c r="AF599" s="245"/>
      <c r="AG599" s="245"/>
      <c r="AH599" s="245"/>
      <c r="AI599" s="245"/>
      <c r="AJ599" s="245"/>
      <c r="AK599" s="245"/>
      <c r="AL599" s="245"/>
      <c r="AM599" s="245"/>
      <c r="AN599" s="245"/>
      <c r="AO599" s="245"/>
      <c r="AP599" s="245"/>
      <c r="AQ599" s="245"/>
      <c r="AR599" s="245"/>
      <c r="AS599" s="245"/>
      <c r="AT599" s="245"/>
      <c r="AU599" s="245"/>
      <c r="AV599" s="245"/>
      <c r="AW599" s="245"/>
      <c r="AX599" s="245"/>
      <c r="AY599" s="245"/>
      <c r="AZ599" s="245"/>
      <c r="BA599" s="245"/>
      <c r="BB599" s="245"/>
      <c r="BC599" s="245"/>
      <c r="BD599" s="245"/>
      <c r="BE599" s="245"/>
      <c r="BF599" s="245"/>
      <c r="BG599" s="245"/>
      <c r="BH599" s="550"/>
      <c r="BI599" s="245"/>
      <c r="BJ599" s="245"/>
      <c r="BK599" s="245"/>
      <c r="BL599" s="245"/>
      <c r="BM599" s="245"/>
      <c r="BN599" s="245"/>
      <c r="BO599" s="245"/>
      <c r="BP599" s="245"/>
      <c r="BQ599" s="245"/>
      <c r="BR599" s="245"/>
      <c r="BS599" s="227"/>
    </row>
    <row r="600" spans="1:71" ht="15">
      <c r="A600" s="450" t="s">
        <v>518</v>
      </c>
      <c r="B600" s="232"/>
      <c r="C600" s="232"/>
      <c r="D600" s="232"/>
      <c r="E600" s="232"/>
      <c r="F600" s="232"/>
      <c r="G600" s="232"/>
      <c r="H600" s="232"/>
      <c r="I600" s="232"/>
      <c r="J600" s="232"/>
      <c r="K600" s="232"/>
      <c r="L600" s="232"/>
      <c r="M600" s="232"/>
      <c r="N600" s="232"/>
      <c r="O600" s="232"/>
      <c r="P600" s="232"/>
      <c r="Q600" s="232"/>
      <c r="R600" s="232"/>
      <c r="S600" s="232"/>
      <c r="T600" s="232"/>
      <c r="U600" s="232"/>
      <c r="V600" s="232"/>
      <c r="W600" s="232"/>
      <c r="X600" s="232"/>
      <c r="Y600" s="232"/>
      <c r="Z600" s="232"/>
      <c r="AA600" s="232"/>
      <c r="AB600" s="232"/>
      <c r="AC600" s="232"/>
      <c r="AD600" s="232"/>
      <c r="AE600" s="232"/>
      <c r="AF600" s="232"/>
      <c r="AG600" s="232"/>
      <c r="AH600" s="232"/>
      <c r="AI600" s="232"/>
      <c r="AJ600" s="232"/>
      <c r="AK600" s="232"/>
      <c r="AL600" s="232"/>
      <c r="AM600" s="232"/>
      <c r="AN600" s="232"/>
      <c r="AO600" s="232"/>
      <c r="AP600" s="232"/>
      <c r="AQ600" s="232"/>
      <c r="AR600" s="232"/>
      <c r="AS600" s="232"/>
      <c r="AT600" s="232"/>
      <c r="AU600" s="232"/>
      <c r="AV600" s="232"/>
      <c r="AW600" s="232"/>
      <c r="AX600" s="232"/>
      <c r="AY600" s="232"/>
      <c r="AZ600" s="232"/>
      <c r="BA600" s="232"/>
      <c r="BB600" s="232"/>
      <c r="BC600" s="232"/>
      <c r="BD600" s="232"/>
      <c r="BE600" s="232"/>
      <c r="BF600" s="232"/>
      <c r="BG600" s="232"/>
      <c r="BH600" s="232"/>
      <c r="BI600" s="232"/>
      <c r="BJ600" s="232"/>
      <c r="BK600" s="232"/>
      <c r="BL600" s="232"/>
      <c r="BM600" s="232"/>
      <c r="BN600" s="232"/>
      <c r="BO600" s="232"/>
      <c r="BP600" s="232"/>
      <c r="BQ600" s="232"/>
      <c r="BR600" s="232"/>
      <c r="BS600" s="227"/>
    </row>
    <row r="601" spans="1:71" ht="15">
      <c r="A601" s="227"/>
      <c r="B601" s="227"/>
      <c r="C601" s="227"/>
      <c r="D601" s="227"/>
      <c r="E601" s="227"/>
      <c r="F601" s="227"/>
      <c r="G601" s="227"/>
      <c r="H601" s="227"/>
      <c r="I601" s="227"/>
      <c r="J601" s="227"/>
      <c r="K601" s="227"/>
      <c r="L601" s="227"/>
      <c r="M601" s="227"/>
      <c r="N601" s="227"/>
      <c r="O601" s="227"/>
      <c r="P601" s="227"/>
      <c r="Q601" s="227"/>
      <c r="R601" s="227"/>
      <c r="S601" s="227"/>
      <c r="T601" s="227"/>
      <c r="U601" s="227"/>
      <c r="V601" s="227"/>
      <c r="W601" s="227"/>
      <c r="X601" s="227"/>
      <c r="Y601" s="227"/>
      <c r="Z601" s="227"/>
      <c r="AA601" s="227"/>
      <c r="AB601" s="227"/>
      <c r="AC601" s="227"/>
      <c r="AD601" s="227"/>
      <c r="AE601" s="227"/>
      <c r="AF601" s="227"/>
      <c r="AG601" s="227"/>
      <c r="AH601" s="227"/>
      <c r="AI601" s="227"/>
      <c r="AJ601" s="227"/>
      <c r="AK601" s="227"/>
      <c r="AL601" s="227"/>
      <c r="AM601" s="227"/>
      <c r="AN601" s="227"/>
      <c r="AO601" s="227"/>
      <c r="AP601" s="227"/>
      <c r="AQ601" s="227"/>
      <c r="AR601" s="227"/>
      <c r="AS601" s="227"/>
      <c r="AT601" s="227"/>
      <c r="AU601" s="227"/>
      <c r="AV601" s="227"/>
      <c r="AW601" s="227"/>
      <c r="AX601" s="227"/>
      <c r="AY601" s="227"/>
      <c r="AZ601" s="227"/>
      <c r="BA601" s="227"/>
      <c r="BB601" s="227"/>
      <c r="BC601" s="227"/>
      <c r="BD601" s="227"/>
      <c r="BE601" s="227"/>
      <c r="BF601" s="227"/>
      <c r="BG601" s="227"/>
      <c r="BH601" s="227"/>
      <c r="BI601" s="227"/>
      <c r="BJ601" s="227"/>
      <c r="BK601" s="227"/>
      <c r="BL601" s="227"/>
      <c r="BM601" s="227"/>
      <c r="BN601" s="227"/>
      <c r="BO601" s="227"/>
      <c r="BP601" s="227"/>
      <c r="BQ601" s="227"/>
      <c r="BR601" s="227"/>
      <c r="BS601" s="227"/>
    </row>
  </sheetData>
  <conditionalFormatting sqref="C185:AB185 AD185 AF185:AH185 AK185:AL185 AN185 AP185:BR185">
    <cfRule type="cellIs" priority="1229" dxfId="9" operator="equal">
      <formula>0</formula>
    </cfRule>
  </conditionalFormatting>
  <conditionalFormatting sqref="C185:AB185 AD185 AF185:AH185 AK185:AL185 AN185 AP185:BR185">
    <cfRule type="cellIs" priority="1228" dxfId="8" operator="notEqual">
      <formula>0</formula>
    </cfRule>
  </conditionalFormatting>
  <conditionalFormatting sqref="C414:BR414">
    <cfRule type="cellIs" priority="1227" dxfId="9" operator="equal">
      <formula>0</formula>
    </cfRule>
  </conditionalFormatting>
  <conditionalFormatting sqref="C414:BR414">
    <cfRule type="cellIs" priority="1226" dxfId="8" operator="notEqual">
      <formula>0</formula>
    </cfRule>
  </conditionalFormatting>
  <conditionalFormatting sqref="C458:BR458">
    <cfRule type="cellIs" priority="1225" dxfId="9" operator="equal">
      <formula>0</formula>
    </cfRule>
  </conditionalFormatting>
  <conditionalFormatting sqref="C458:BR458">
    <cfRule type="cellIs" priority="1224" dxfId="8" operator="notEqual">
      <formula>0</formula>
    </cfRule>
  </conditionalFormatting>
  <conditionalFormatting sqref="C461:AB461 AD461 AF461:AH461 AK461:AL461 AN461 AP461:BR461 C462:BR471 C472:AE472 AG472:AT472 AV472:AY472 BA472:BD472 BF472:BR472 C473:BR476">
    <cfRule type="cellIs" priority="1223" dxfId="9" operator="equal">
      <formula>0</formula>
    </cfRule>
  </conditionalFormatting>
  <conditionalFormatting sqref="C461:AB461 AD461 AF461:AH461 AK461:AL461 AN461 AP461:BR461 C462:BR471 C472:AE472 AG472:AT472 AV472:AY472 BA472:BD472 BF472:BR472 C473:BR476">
    <cfRule type="cellIs" priority="1222" dxfId="8" operator="notEqual">
      <formula>0</formula>
    </cfRule>
  </conditionalFormatting>
  <dataValidations count="1">
    <dataValidation type="list" allowBlank="1" showInputMessage="1" showErrorMessage="1" sqref="B298">
      <formula1>OFFSET(tb_ValuationToggle,1,0,4,1)</formula1>
    </dataValidation>
  </dataValidations>
  <hyperlinks>
    <hyperlink ref="A1" r:id="rId1" display="Aflac Incorporated"/>
  </hyperlinks>
  <pageMargins left="0" right="0" top="0.393700787401575" bottom="0" header="0.196850393700787" footer="0"/>
  <pageSetup fitToHeight="0" orientation="landscape" paperSize="1" r:id="rId4"/>
  <headerFooter>
    <oddHeader>&amp;CAflac Incorporated&amp;RPage &amp;P</oddHeader>
  </headerFooter>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30A56B3B-DBDF-4A1A-A721-0C98FF77D53C}">
  <dimension ref="A1:U48"/>
  <sheetViews>
    <sheetView workbookViewId="0" topLeftCell="A1">
      <pane ySplit="5" topLeftCell="A6" activePane="bottomLeft" state="frozen"/>
      <selection pane="topLeft" activeCell="A1" sqref="A1"/>
      <selection pane="bottomLeft" activeCell="A1" sqref="A1"/>
    </sheetView>
  </sheetViews>
  <sheetFormatPr defaultColWidth="8.714285714285714" defaultRowHeight="15" outlineLevelCol="1"/>
  <cols>
    <col min="1" max="1" width="3.4285714285714284" style="236" customWidth="1"/>
    <col min="2" max="2" width="9.285714285714286" style="235" bestFit="1" customWidth="1"/>
    <col min="3" max="3" width="2.7142857142857144" style="235" customWidth="1"/>
    <col min="4" max="4" width="23.714285714285715" style="237" bestFit="1" customWidth="1"/>
    <col min="5" max="5" width="21.714285714285715" style="238" hidden="1" customWidth="1" outlineLevel="1"/>
    <col min="6" max="6" width="14.428571428571429" style="235" bestFit="1" customWidth="1" collapsed="1"/>
    <col min="7" max="7" width="14.428571428571429" style="235" hidden="1" customWidth="1" outlineLevel="1" collapsed="1"/>
    <col min="8" max="8" width="2.7142857142857144" style="235" customWidth="1" collapsed="1"/>
    <col min="9" max="11" width="15.142857142857142" style="235" bestFit="1" customWidth="1"/>
    <col min="12" max="12" width="2.7142857142857144" style="235" customWidth="1"/>
    <col min="13" max="13" width="8.714285714285714" style="235" bestFit="1" customWidth="1"/>
    <col min="14" max="14" width="11.714285714285714" style="237" bestFit="1" customWidth="1"/>
    <col min="15" max="15" width="2.7142857142857144" style="235" customWidth="1"/>
    <col min="16" max="16" width="13.428571428571429" style="235" bestFit="1" customWidth="1"/>
    <col min="17" max="17" width="14.285714285714286" style="239" bestFit="1" customWidth="1"/>
    <col min="18" max="18" width="2.7142857142857144" style="235" customWidth="1"/>
    <col min="19" max="19" width="10.428571428571429" style="240" bestFit="1" customWidth="1"/>
    <col min="20" max="20" width="13.285714285714286" style="241" bestFit="1" customWidth="1"/>
    <col min="21" max="22" width="8.714285714285714" style="235" customWidth="1"/>
    <col min="23" max="16384" width="8.714285714285714" style="235"/>
  </cols>
  <sheetData>
    <row r="1" spans="1:21" ht="28.5">
      <c r="A1" s="242"/>
      <c r="B1" s="191" t="str">
        <f>MO.CompanyName</f>
        <v>Aflac Incorporated</v>
      </c>
      <c r="C1" s="249"/>
      <c r="D1" s="249"/>
      <c r="E1" s="247"/>
      <c r="F1" s="249"/>
      <c r="G1" s="249"/>
      <c r="H1" s="249"/>
      <c r="I1" s="249"/>
      <c r="J1" s="249"/>
      <c r="K1" s="249"/>
      <c r="L1" s="249"/>
      <c r="M1" s="249"/>
      <c r="N1" s="249"/>
      <c r="O1" s="249"/>
      <c r="P1" s="249"/>
      <c r="Q1" s="209"/>
      <c r="R1" s="249"/>
      <c r="S1" s="248"/>
      <c r="T1" s="249"/>
      <c r="U1" s="249"/>
    </row>
    <row r="2" spans="1:21" ht="15">
      <c r="A2" s="242"/>
      <c r="B2" s="246" t="s">
        <v>286</v>
      </c>
      <c r="C2" s="249"/>
      <c r="D2" s="249"/>
      <c r="E2" s="247"/>
      <c r="F2" s="249" t="str">
        <f>UL.MRQ</f>
        <v>Q3-2024</v>
      </c>
      <c r="G2" s="249"/>
      <c r="H2" s="249"/>
      <c r="I2" s="249"/>
      <c r="J2" s="249"/>
      <c r="K2" s="249"/>
      <c r="L2" s="249"/>
      <c r="M2" s="249"/>
      <c r="N2" s="249"/>
      <c r="O2" s="249"/>
      <c r="P2" s="249"/>
      <c r="Q2" s="209"/>
      <c r="R2" s="249"/>
      <c r="S2" s="248"/>
      <c r="T2" s="249"/>
      <c r="U2" s="249"/>
    </row>
    <row r="3" spans="1:21" ht="15">
      <c r="A3" s="242"/>
      <c r="B3" s="249"/>
      <c r="C3" s="249"/>
      <c r="D3" s="249"/>
      <c r="E3" s="247"/>
      <c r="F3" s="249"/>
      <c r="G3" s="249"/>
      <c r="H3" s="249"/>
      <c r="I3" s="249"/>
      <c r="J3" s="249"/>
      <c r="K3" s="249"/>
      <c r="L3" s="249"/>
      <c r="M3" s="249"/>
      <c r="N3" s="249"/>
      <c r="O3" s="249"/>
      <c r="P3" s="249"/>
      <c r="Q3" s="209"/>
      <c r="R3" s="249"/>
      <c r="S3" s="249"/>
      <c r="T3" s="249"/>
      <c r="U3" s="249"/>
    </row>
    <row r="4" spans="1:21" s="233" customFormat="1" ht="15">
      <c r="A4" s="242"/>
      <c r="B4" s="254"/>
      <c r="C4" s="264"/>
      <c r="D4" s="254"/>
      <c r="E4" s="254"/>
      <c r="F4" s="254"/>
      <c r="G4" s="254"/>
      <c r="H4" s="264"/>
      <c r="I4" s="255" t="s">
        <v>228</v>
      </c>
      <c r="J4" s="255"/>
      <c r="K4" s="255"/>
      <c r="L4" s="264"/>
      <c r="M4" s="255" t="s">
        <v>229</v>
      </c>
      <c r="N4" s="255"/>
      <c r="O4" s="264"/>
      <c r="P4" s="255" t="s">
        <v>230</v>
      </c>
      <c r="Q4" s="255"/>
      <c r="R4" s="264"/>
      <c r="S4" s="255" t="s">
        <v>231</v>
      </c>
      <c r="T4" s="255"/>
      <c r="U4" s="248"/>
    </row>
    <row r="5" spans="1:21" s="234" customFormat="1" ht="15">
      <c r="A5" s="242"/>
      <c r="B5" s="254" t="s">
        <v>232</v>
      </c>
      <c r="C5" s="265"/>
      <c r="D5" s="254" t="s">
        <v>233</v>
      </c>
      <c r="E5" s="254" t="s">
        <v>234</v>
      </c>
      <c r="F5" s="254" t="s">
        <v>235</v>
      </c>
      <c r="G5" s="254" t="s">
        <v>255</v>
      </c>
      <c r="H5" s="265"/>
      <c r="I5" s="256" t="s">
        <v>204</v>
      </c>
      <c r="J5" s="256" t="s">
        <v>203</v>
      </c>
      <c r="K5" s="256" t="s">
        <v>236</v>
      </c>
      <c r="L5" s="265"/>
      <c r="M5" s="254" t="s">
        <v>232</v>
      </c>
      <c r="N5" s="256" t="s">
        <v>237</v>
      </c>
      <c r="O5" s="265"/>
      <c r="P5" s="256" t="s">
        <v>238</v>
      </c>
      <c r="Q5" s="257" t="s">
        <v>239</v>
      </c>
      <c r="R5" s="265"/>
      <c r="S5" s="256" t="s">
        <v>240</v>
      </c>
      <c r="T5" s="256" t="s">
        <v>241</v>
      </c>
      <c r="U5" s="252"/>
    </row>
    <row r="6" spans="1:21" ht="15">
      <c r="A6" s="242">
        <v>42</v>
      </c>
      <c r="B6" s="258" t="str">
        <f t="shared" si="0" ref="B6:B11">IF(INDEX(MO_SNA_IsHistoricalPeriod,,MATCH(F6,MO_Common_ColumnHeader,0)),"Historical","Forward")</f>
        <v>Forward</v>
      </c>
      <c r="C6" s="249"/>
      <c r="D6" s="266" t="s">
        <v>507</v>
      </c>
      <c r="E6" s="259"/>
      <c r="F6" s="258" t="s">
        <v>502</v>
      </c>
      <c r="G6" s="258"/>
      <c r="H6" s="249"/>
      <c r="I6" s="260">
        <v>0.66</v>
      </c>
      <c r="J6" s="260">
        <v>0.68</v>
      </c>
      <c r="K6" s="260">
        <f t="shared" si="1" ref="K6:K11">AVERAGE(I6:J6)</f>
        <v>0.67</v>
      </c>
      <c r="L6" s="249"/>
      <c r="M6" s="258" t="str">
        <f t="shared" si="2" ref="M6:M11">IF(INDEX(MO_SNA_IsHistoricalPeriod,,MATCH(F6,MO_Common_ColumnHeader,0)),"Actual","Estimate")</f>
        <v>Estimate</v>
      </c>
      <c r="N6" s="260">
        <f>IFERROR(INDEX(z_BFIGLN0159_MO_OS_AflacJapanBenefitsandclaims,0,MATCH(F6,MO_Common_ColumnHeader,0))/INDEX(z_BFIGLN0159_MO_OS_AflacJapanNetPremiumIncome,0,MATCH(F6,MO_Common_ColumnHeader,0)),"N/A")</f>
        <v>0.67320920613301405</v>
      </c>
      <c r="O6" s="249"/>
      <c r="P6" s="267">
        <f t="shared" si="3" ref="P6:P11">IF(ISNUMBER(N6),N6-K6,"N/A")</f>
        <v>0.0032092061330140087</v>
      </c>
      <c r="Q6" s="267">
        <f t="shared" si="4" ref="Q6:Q11">IFERROR(IF(ISNUMBER(N6),(N6-K6)/ABS(K6),"N/A"),"N/A")</f>
        <v>0.0047898599000209081</v>
      </c>
      <c r="R6" s="249"/>
      <c r="S6" s="261">
        <v>45504</v>
      </c>
      <c r="T6" s="353" t="s">
        <v>514</v>
      </c>
      <c r="U6" s="249"/>
    </row>
    <row r="7" spans="1:21" ht="15">
      <c r="A7" s="242">
        <v>41</v>
      </c>
      <c r="B7" s="258" t="str">
        <f t="shared" si="0"/>
        <v>Forward</v>
      </c>
      <c r="C7" s="249"/>
      <c r="D7" s="266" t="s">
        <v>508</v>
      </c>
      <c r="E7" s="259"/>
      <c r="F7" s="258" t="s">
        <v>502</v>
      </c>
      <c r="G7" s="258"/>
      <c r="H7" s="249"/>
      <c r="I7" s="260">
        <v>0.19</v>
      </c>
      <c r="J7" s="260">
        <v>0.21</v>
      </c>
      <c r="K7" s="260">
        <f t="shared" si="1"/>
        <v>0.20</v>
      </c>
      <c r="L7" s="249"/>
      <c r="M7" s="258" t="str">
        <f t="shared" si="2"/>
        <v>Estimate</v>
      </c>
      <c r="N7" s="260">
        <f>IFERROR((INDEX(z_BFIGLN0159_MO_OS_AflacJapanAmortizationofdeferredpolicyacquisitioncosts,0,MATCH(F7,MO_Common_ColumnHeader,0))+INDEX(z_BFIGLN0159_MO_OS_AflacJapanInsurancecommissions,0,MATCH(F7,MO_Common_ColumnHeader,0))+INDEX(z_BFIGLN0159_MO_OS_AflacJapanInsuranceandotherexpenses,0,MATCH(F7,MO_Common_ColumnHeader,0)))/INDEX(z_BFIGLN0159_MO_OS_AflacJapanTotalAdjustedRevenues,0,MATCH(F7,MO_Common_ColumnHeader,0)),"N/A")</f>
        <v>0.20511490068856755</v>
      </c>
      <c r="O7" s="249"/>
      <c r="P7" s="267">
        <f t="shared" si="3"/>
        <v>0.0051149006885675419</v>
      </c>
      <c r="Q7" s="267">
        <f t="shared" si="4"/>
        <v>0.025574503442837709</v>
      </c>
      <c r="R7" s="249"/>
      <c r="S7" s="261">
        <v>45504</v>
      </c>
      <c r="T7" s="353" t="s">
        <v>514</v>
      </c>
      <c r="U7" s="249"/>
    </row>
    <row r="8" spans="1:21" ht="15">
      <c r="A8" s="242">
        <v>40</v>
      </c>
      <c r="B8" s="258" t="str">
        <f t="shared" si="0"/>
        <v>Forward</v>
      </c>
      <c r="C8" s="249"/>
      <c r="D8" s="266" t="str">
        <f ca="1">INDEX(INDIRECT(E8),0,COLUMN(MO_Common_Column_A))</f>
        <v>Aflac Japan - Pretax adjusted earnings ratio, %</v>
      </c>
      <c r="E8" s="259" t="s">
        <v>509</v>
      </c>
      <c r="F8" s="258" t="s">
        <v>502</v>
      </c>
      <c r="G8" s="258"/>
      <c r="H8" s="249"/>
      <c r="I8" s="260">
        <v>0.28999999999999998</v>
      </c>
      <c r="J8" s="260">
        <v>0.31</v>
      </c>
      <c r="K8" s="260">
        <f t="shared" si="1"/>
        <v>0.30</v>
      </c>
      <c r="L8" s="249"/>
      <c r="M8" s="258" t="str">
        <f t="shared" si="2"/>
        <v>Estimate</v>
      </c>
      <c r="N8" s="260">
        <f ca="1">IFERROR(INDEX(INDIRECT(E8),0,MATCH(F8,MO_Common_ColumnHeader,0)),"N/A")</f>
        <v>0.31450798440855066</v>
      </c>
      <c r="O8" s="249"/>
      <c r="P8" s="267">
        <f t="shared" ca="1" si="3"/>
        <v>0.014507984408550667</v>
      </c>
      <c r="Q8" s="267">
        <f t="shared" ca="1" si="4"/>
        <v>0.048359948028502228</v>
      </c>
      <c r="R8" s="249"/>
      <c r="S8" s="261">
        <v>45504</v>
      </c>
      <c r="T8" s="353" t="s">
        <v>514</v>
      </c>
      <c r="U8" s="249"/>
    </row>
    <row r="9" spans="1:21" ht="15">
      <c r="A9" s="242">
        <v>39</v>
      </c>
      <c r="B9" s="258" t="str">
        <f t="shared" si="0"/>
        <v>Forward</v>
      </c>
      <c r="C9" s="249"/>
      <c r="D9" s="266" t="s">
        <v>504</v>
      </c>
      <c r="E9" s="259"/>
      <c r="F9" s="258" t="s">
        <v>502</v>
      </c>
      <c r="G9" s="258"/>
      <c r="H9" s="249"/>
      <c r="I9" s="260">
        <v>0.45</v>
      </c>
      <c r="J9" s="260">
        <v>0.47</v>
      </c>
      <c r="K9" s="260">
        <f t="shared" si="1"/>
        <v>0.45999999999999996</v>
      </c>
      <c r="L9" s="249"/>
      <c r="M9" s="258" t="str">
        <f t="shared" si="2"/>
        <v>Estimate</v>
      </c>
      <c r="N9" s="260">
        <f>IFERROR(INDEX(z_BFIGLN0159_MO_OS_AflacUSBenefitsandclaims,0,MATCH(F9,MO_Common_ColumnHeader,0))/INDEX(z_BFIGLN0159_MO_OS_AflacUSNetPremiumIncome,0,MATCH(F9,MO_Common_ColumnHeader,0)),"N/A")</f>
        <v>0.47234900023356258</v>
      </c>
      <c r="O9" s="249"/>
      <c r="P9" s="267">
        <f t="shared" si="3"/>
        <v>0.012349000233562613</v>
      </c>
      <c r="Q9" s="267">
        <f t="shared" si="4"/>
        <v>0.026845652681657856</v>
      </c>
      <c r="R9" s="249"/>
      <c r="S9" s="261">
        <v>45504</v>
      </c>
      <c r="T9" s="353" t="s">
        <v>514</v>
      </c>
      <c r="U9" s="249"/>
    </row>
    <row r="10" spans="1:21" ht="15">
      <c r="A10" s="242">
        <v>38</v>
      </c>
      <c r="B10" s="258" t="str">
        <f t="shared" si="0"/>
        <v>Forward</v>
      </c>
      <c r="C10" s="249"/>
      <c r="D10" s="266" t="s">
        <v>505</v>
      </c>
      <c r="E10" s="259"/>
      <c r="F10" s="258" t="s">
        <v>502</v>
      </c>
      <c r="G10" s="258"/>
      <c r="H10" s="249"/>
      <c r="I10" s="260">
        <v>0.38</v>
      </c>
      <c r="J10" s="260">
        <v>0.40</v>
      </c>
      <c r="K10" s="260">
        <f t="shared" si="1"/>
        <v>0.39</v>
      </c>
      <c r="L10" s="249"/>
      <c r="M10" s="258" t="str">
        <f t="shared" si="2"/>
        <v>Estimate</v>
      </c>
      <c r="N10" s="260">
        <f>IFERROR((INDEX(z_BFIGLN0159_MO_OS_AflacUSAmortizationofdeferredpolicyacquisitioncosts,0,MATCH(F10,MO_Common_ColumnHeader,0))+INDEX(z_BFIGLN0159_MO_OS_AflacUSInsurancecommissions,0,MATCH(F10,MO_Common_ColumnHeader,0))+INDEX(z_BFIGLN0159_MO_OS_AflacUSInsuranceandotherexpenses,0,MATCH(F10,MO_Common_ColumnHeader,0)))/INDEX(z_BFIGLN0159_MO_OS_AflacUSTotalAdjustedRevenues,0,MATCH(F10,MO_Common_ColumnHeader,0)),"N/A")</f>
        <v>0.38201909785338711</v>
      </c>
      <c r="O10" s="249"/>
      <c r="P10" s="267">
        <f t="shared" si="3"/>
        <v>-0.0079809021466129004</v>
      </c>
      <c r="Q10" s="267">
        <f t="shared" si="4"/>
        <v>-0.020463851657981796</v>
      </c>
      <c r="R10" s="249"/>
      <c r="S10" s="261">
        <v>45504</v>
      </c>
      <c r="T10" s="353" t="s">
        <v>514</v>
      </c>
      <c r="U10" s="249"/>
    </row>
    <row r="11" spans="1:21" ht="15">
      <c r="A11" s="242">
        <v>37</v>
      </c>
      <c r="B11" s="258" t="str">
        <f t="shared" si="0"/>
        <v>Forward</v>
      </c>
      <c r="C11" s="249"/>
      <c r="D11" s="266" t="str">
        <f ca="1">INDEX(INDIRECT(E11),0,COLUMN(MO_Common_Column_A))</f>
        <v>Aflac U.S - Pretax adjusted earnings ratio, %</v>
      </c>
      <c r="E11" s="259" t="s">
        <v>503</v>
      </c>
      <c r="F11" s="258" t="s">
        <v>502</v>
      </c>
      <c r="G11" s="258"/>
      <c r="H11" s="249"/>
      <c r="I11" s="260">
        <v>0.19</v>
      </c>
      <c r="J11" s="260">
        <v>0.21</v>
      </c>
      <c r="K11" s="260">
        <f t="shared" si="1"/>
        <v>0.20</v>
      </c>
      <c r="L11" s="249"/>
      <c r="M11" s="258" t="str">
        <f t="shared" si="2"/>
        <v>Estimate</v>
      </c>
      <c r="N11" s="260">
        <f ca="1">IFERROR(INDEX(INDIRECT(E11),0,MATCH(F11,MO_Common_ColumnHeader,0)),"N/A")</f>
        <v>0.20809178868726164</v>
      </c>
      <c r="O11" s="249"/>
      <c r="P11" s="267">
        <f t="shared" ca="1" si="3"/>
        <v>0.0080917886872616251</v>
      </c>
      <c r="Q11" s="267">
        <f t="shared" ca="1" si="4"/>
        <v>0.040458943436308126</v>
      </c>
      <c r="R11" s="249"/>
      <c r="S11" s="261">
        <v>45504</v>
      </c>
      <c r="T11" s="353" t="s">
        <v>514</v>
      </c>
      <c r="U11" s="249"/>
    </row>
    <row r="12" spans="1:21" ht="15">
      <c r="A12" s="242">
        <v>36</v>
      </c>
      <c r="B12" s="249"/>
      <c r="C12" s="249"/>
      <c r="D12" s="246"/>
      <c r="E12" s="247"/>
      <c r="F12" s="249"/>
      <c r="G12" s="249"/>
      <c r="H12" s="249"/>
      <c r="I12" s="820"/>
      <c r="J12" s="820"/>
      <c r="K12" s="820"/>
      <c r="L12" s="249"/>
      <c r="M12" s="249"/>
      <c r="N12" s="820"/>
      <c r="O12" s="249"/>
      <c r="P12" s="306"/>
      <c r="Q12" s="147"/>
      <c r="R12" s="249"/>
      <c r="S12" s="250"/>
      <c r="T12" s="305"/>
      <c r="U12" s="249"/>
    </row>
    <row r="13" spans="1:21" ht="15">
      <c r="A13" s="242">
        <v>35</v>
      </c>
      <c r="B13" s="258" t="str">
        <f>IF(INDEX(MO_SNA_IsHistoricalPeriod,,MATCH(F13,MO_Common_ColumnHeader,0)),"Historical","Forward")</f>
        <v>Forward</v>
      </c>
      <c r="C13" s="249"/>
      <c r="D13" s="266" t="s">
        <v>511</v>
      </c>
      <c r="E13" s="259"/>
      <c r="F13" s="258" t="s">
        <v>513</v>
      </c>
      <c r="G13" s="258"/>
      <c r="H13" s="249"/>
      <c r="I13" s="727">
        <v>67000</v>
      </c>
      <c r="J13" s="727">
        <v>73000</v>
      </c>
      <c r="K13" s="727">
        <f t="shared" si="5" ref="K13:K14">AVERAGE(I13:J13)</f>
        <v>70000</v>
      </c>
      <c r="L13" s="730"/>
      <c r="M13" s="258" t="str">
        <f>IF(INDEX(MO_SNA_IsHistoricalPeriod,,MATCH(F13,MO_Common_ColumnHeader,0)),"Actual","Estimate")</f>
        <v>Estimate</v>
      </c>
      <c r="N13" s="727" t="str">
        <f ca="1">IFERROR(INDEX(INDIRECT(E13),0,MATCH(F13,MO_Common_ColumnHeader,0)),"N/A")</f>
        <v>N/A</v>
      </c>
      <c r="O13" s="730"/>
      <c r="P13" s="731" t="str">
        <f ca="1" t="shared" si="6" ref="P13:P14">IF(ISNUMBER(N13),N13-K13,"N/A")</f>
        <v>N/A</v>
      </c>
      <c r="Q13" s="267" t="str">
        <f ca="1" t="shared" si="7" ref="Q13:Q14">IFERROR(IF(ISNUMBER(N13),(N13-K13)/ABS(K13),"N/A"),"N/A")</f>
        <v>N/A</v>
      </c>
      <c r="R13" s="249"/>
      <c r="S13" s="261">
        <v>45322</v>
      </c>
      <c r="T13" s="353" t="s">
        <v>514</v>
      </c>
      <c r="U13" s="249"/>
    </row>
    <row r="14" spans="1:21" ht="15">
      <c r="A14" s="242">
        <v>34</v>
      </c>
      <c r="B14" s="258" t="str">
        <f>IF(INDEX(MO_SNA_IsHistoricalPeriod,,MATCH(F14,MO_Common_ColumnHeader,0)),"Historical","Forward")</f>
        <v>Forward</v>
      </c>
      <c r="C14" s="249"/>
      <c r="D14" s="266" t="s">
        <v>512</v>
      </c>
      <c r="E14" s="259"/>
      <c r="F14" s="258" t="s">
        <v>513</v>
      </c>
      <c r="G14" s="258"/>
      <c r="H14" s="249"/>
      <c r="I14" s="726">
        <v>1800</v>
      </c>
      <c r="J14" s="726">
        <v>1800</v>
      </c>
      <c r="K14" s="726">
        <f t="shared" si="5"/>
        <v>1800</v>
      </c>
      <c r="L14" s="728"/>
      <c r="M14" s="258" t="str">
        <f>IF(INDEX(MO_SNA_IsHistoricalPeriod,,MATCH(F14,MO_Common_ColumnHeader,0)),"Actual","Estimate")</f>
        <v>Estimate</v>
      </c>
      <c r="N14" s="726" t="str">
        <f ca="1">IFERROR(INDEX(INDIRECT(E14),0,MATCH(F14,MO_Common_ColumnHeader,0)),"N/A")</f>
        <v>N/A</v>
      </c>
      <c r="O14" s="728"/>
      <c r="P14" s="729" t="str">
        <f t="shared" ca="1" si="6"/>
        <v>N/A</v>
      </c>
      <c r="Q14" s="267" t="str">
        <f t="shared" ca="1" si="7"/>
        <v>N/A</v>
      </c>
      <c r="R14" s="249"/>
      <c r="S14" s="261">
        <v>45322</v>
      </c>
      <c r="T14" s="353" t="s">
        <v>514</v>
      </c>
      <c r="U14" s="249"/>
    </row>
    <row r="15" spans="1:21" ht="15">
      <c r="A15" s="242">
        <v>33</v>
      </c>
      <c r="B15" s="249"/>
      <c r="C15" s="249"/>
      <c r="D15" s="246"/>
      <c r="E15" s="247"/>
      <c r="F15" s="249"/>
      <c r="G15" s="249"/>
      <c r="H15" s="249"/>
      <c r="I15" s="820"/>
      <c r="J15" s="820"/>
      <c r="K15" s="820"/>
      <c r="L15" s="249"/>
      <c r="M15" s="249"/>
      <c r="N15" s="820"/>
      <c r="O15" s="249"/>
      <c r="P15" s="306"/>
      <c r="Q15" s="147"/>
      <c r="R15" s="249"/>
      <c r="S15" s="250"/>
      <c r="T15" s="305"/>
      <c r="U15" s="249"/>
    </row>
    <row r="16" spans="1:21" ht="15">
      <c r="A16" s="242">
        <v>32</v>
      </c>
      <c r="B16" s="258" t="str">
        <f t="shared" si="8" ref="B16:B23">IF(INDEX(MO_SNA_IsHistoricalPeriod,,MATCH(F16,MO_Common_ColumnHeader,0)),"Historical","Forward")</f>
        <v>Forward</v>
      </c>
      <c r="C16" s="249"/>
      <c r="D16" s="266" t="s">
        <v>507</v>
      </c>
      <c r="E16" s="259"/>
      <c r="F16" s="258" t="s">
        <v>502</v>
      </c>
      <c r="G16" s="258"/>
      <c r="H16" s="249"/>
      <c r="I16" s="260">
        <v>0.66</v>
      </c>
      <c r="J16" s="260">
        <v>0.68</v>
      </c>
      <c r="K16" s="260">
        <f t="shared" si="9" ref="K16:K23">AVERAGE(I16:J16)</f>
        <v>0.67</v>
      </c>
      <c r="L16" s="249"/>
      <c r="M16" s="258" t="str">
        <f t="shared" si="10" ref="M16:M23">IF(INDEX(MO_SNA_IsHistoricalPeriod,,MATCH(F16,MO_Common_ColumnHeader,0)),"Actual","Estimate")</f>
        <v>Estimate</v>
      </c>
      <c r="N16" s="260">
        <f>IFERROR(INDEX(z_BFIGLN0159_MO_OS_AflacJapanBenefitsandclaims,0,MATCH(F16,MO_Common_ColumnHeader,0))/INDEX(z_BFIGLN0159_MO_OS_AflacJapanNetPremiumIncome,0,MATCH(F16,MO_Common_ColumnHeader,0)),"N/A")</f>
        <v>0.67320920613301405</v>
      </c>
      <c r="O16" s="249"/>
      <c r="P16" s="267">
        <f t="shared" si="11" ref="P16:P23">IF(ISNUMBER(N16),N16-K16,"N/A")</f>
        <v>0.0032092061330140087</v>
      </c>
      <c r="Q16" s="267">
        <f t="shared" si="12" ref="Q16:Q23">IFERROR(IF(ISNUMBER(N16),(N16-K16)/ABS(K16),"N/A"),"N/A")</f>
        <v>0.0047898599000209081</v>
      </c>
      <c r="R16" s="249"/>
      <c r="S16" s="261">
        <v>45322</v>
      </c>
      <c r="T16" s="353" t="s">
        <v>514</v>
      </c>
      <c r="U16" s="249"/>
    </row>
    <row r="17" spans="1:21" ht="15">
      <c r="A17" s="242">
        <v>31</v>
      </c>
      <c r="B17" s="258" t="str">
        <f t="shared" si="8"/>
        <v>Forward</v>
      </c>
      <c r="C17" s="249"/>
      <c r="D17" s="266" t="s">
        <v>508</v>
      </c>
      <c r="E17" s="259"/>
      <c r="F17" s="258" t="s">
        <v>502</v>
      </c>
      <c r="G17" s="258"/>
      <c r="H17" s="249"/>
      <c r="I17" s="260">
        <v>0.19</v>
      </c>
      <c r="J17" s="260">
        <v>0.21</v>
      </c>
      <c r="K17" s="260">
        <f t="shared" si="9"/>
        <v>0.20</v>
      </c>
      <c r="L17" s="249"/>
      <c r="M17" s="258" t="str">
        <f t="shared" si="10"/>
        <v>Estimate</v>
      </c>
      <c r="N17" s="260">
        <f>IFERROR((INDEX(z_BFIGLN0159_MO_OS_AflacJapanAmortizationofdeferredpolicyacquisitioncosts,0,MATCH(F17,MO_Common_ColumnHeader,0))+INDEX(z_BFIGLN0159_MO_OS_AflacJapanInsurancecommissions,0,MATCH(F17,MO_Common_ColumnHeader,0))+INDEX(z_BFIGLN0159_MO_OS_AflacJapanInsuranceandotherexpenses,0,MATCH(F17,MO_Common_ColumnHeader,0)))/INDEX(z_BFIGLN0159_MO_OS_AflacJapanTotalAdjustedRevenues,0,MATCH(F17,MO_Common_ColumnHeader,0)),"N/A")</f>
        <v>0.20511490068856755</v>
      </c>
      <c r="O17" s="249"/>
      <c r="P17" s="267">
        <f t="shared" si="11"/>
        <v>0.0051149006885675419</v>
      </c>
      <c r="Q17" s="267">
        <f t="shared" si="12"/>
        <v>0.025574503442837709</v>
      </c>
      <c r="R17" s="249"/>
      <c r="S17" s="261">
        <v>45322</v>
      </c>
      <c r="T17" s="353" t="s">
        <v>514</v>
      </c>
      <c r="U17" s="249"/>
    </row>
    <row r="18" spans="1:21" ht="15">
      <c r="A18" s="242">
        <v>30</v>
      </c>
      <c r="B18" s="258" t="str">
        <f t="shared" si="8"/>
        <v>Forward</v>
      </c>
      <c r="C18" s="249"/>
      <c r="D18" s="266" t="str">
        <f ca="1">INDEX(INDIRECT(E18),0,COLUMN(MO_Common_Column_A))</f>
        <v>Aflac Japan - Pretax adjusted earnings ratio, %</v>
      </c>
      <c r="E18" s="259" t="s">
        <v>509</v>
      </c>
      <c r="F18" s="258" t="s">
        <v>502</v>
      </c>
      <c r="G18" s="258"/>
      <c r="H18" s="249"/>
      <c r="I18" s="260">
        <v>0.28999999999999998</v>
      </c>
      <c r="J18" s="260">
        <v>0.31</v>
      </c>
      <c r="K18" s="260">
        <f t="shared" si="9"/>
        <v>0.30</v>
      </c>
      <c r="L18" s="249"/>
      <c r="M18" s="258" t="str">
        <f t="shared" si="10"/>
        <v>Estimate</v>
      </c>
      <c r="N18" s="260">
        <f ca="1">IFERROR(INDEX(INDIRECT(E18),0,MATCH(F18,MO_Common_ColumnHeader,0)),"N/A")</f>
        <v>0.31450798440855066</v>
      </c>
      <c r="O18" s="249"/>
      <c r="P18" s="267">
        <f t="shared" ca="1" si="11"/>
        <v>0.014507984408550667</v>
      </c>
      <c r="Q18" s="267">
        <f t="shared" ca="1" si="12"/>
        <v>0.048359948028502228</v>
      </c>
      <c r="R18" s="249"/>
      <c r="S18" s="261">
        <v>45322</v>
      </c>
      <c r="T18" s="353" t="s">
        <v>514</v>
      </c>
      <c r="U18" s="249"/>
    </row>
    <row r="19" spans="1:21" ht="15">
      <c r="A19" s="242">
        <v>29</v>
      </c>
      <c r="B19" s="258" t="str">
        <f t="shared" si="8"/>
        <v>Forward</v>
      </c>
      <c r="C19" s="249"/>
      <c r="D19" s="266" t="str">
        <f ca="1">INDEX(INDIRECT(E19),0,COLUMN(MO_Common_Column_A))</f>
        <v>Y/Y change in Aflac Japan - Net Premium Income, %</v>
      </c>
      <c r="E19" s="259" t="s">
        <v>510</v>
      </c>
      <c r="F19" s="258" t="s">
        <v>502</v>
      </c>
      <c r="G19" s="258"/>
      <c r="H19" s="249"/>
      <c r="I19" s="260">
        <v>-0.025</v>
      </c>
      <c r="J19" s="260">
        <v>-0.015</v>
      </c>
      <c r="K19" s="260">
        <f t="shared" si="9"/>
        <v>-0.02</v>
      </c>
      <c r="L19" s="249"/>
      <c r="M19" s="258" t="str">
        <f t="shared" si="10"/>
        <v>Estimate</v>
      </c>
      <c r="N19" s="260">
        <f ca="1">IFERROR(INDEX(INDIRECT(E19),0,MATCH(F19,MO_Common_ColumnHeader,0)),"N/A")</f>
        <v>-0.07443767863800177</v>
      </c>
      <c r="O19" s="249"/>
      <c r="P19" s="267">
        <f t="shared" ca="1" si="11"/>
        <v>-0.054437678638001766</v>
      </c>
      <c r="Q19" s="267">
        <f t="shared" ca="1" si="12"/>
        <v>-2.7218839319000883</v>
      </c>
      <c r="R19" s="249"/>
      <c r="S19" s="261">
        <v>45322</v>
      </c>
      <c r="T19" s="353" t="s">
        <v>514</v>
      </c>
      <c r="U19" s="249"/>
    </row>
    <row r="20" spans="1:21" ht="15">
      <c r="A20" s="242">
        <v>28</v>
      </c>
      <c r="B20" s="258" t="str">
        <f t="shared" si="8"/>
        <v>Forward</v>
      </c>
      <c r="C20" s="249"/>
      <c r="D20" s="266" t="s">
        <v>504</v>
      </c>
      <c r="E20" s="259"/>
      <c r="F20" s="258" t="s">
        <v>502</v>
      </c>
      <c r="G20" s="258"/>
      <c r="H20" s="249"/>
      <c r="I20" s="260">
        <v>0.45</v>
      </c>
      <c r="J20" s="260">
        <v>0.47</v>
      </c>
      <c r="K20" s="260">
        <f t="shared" si="9"/>
        <v>0.45999999999999996</v>
      </c>
      <c r="L20" s="249"/>
      <c r="M20" s="258" t="str">
        <f t="shared" si="10"/>
        <v>Estimate</v>
      </c>
      <c r="N20" s="260">
        <f>IFERROR(INDEX(z_BFIGLN0159_MO_OS_AflacUSBenefitsandclaims,0,MATCH(F20,MO_Common_ColumnHeader,0))/INDEX(z_BFIGLN0159_MO_OS_AflacUSNetPremiumIncome,0,MATCH(F20,MO_Common_ColumnHeader,0)),"N/A")</f>
        <v>0.47234900023356258</v>
      </c>
      <c r="O20" s="249"/>
      <c r="P20" s="267">
        <f t="shared" si="11"/>
        <v>0.012349000233562613</v>
      </c>
      <c r="Q20" s="267">
        <f t="shared" si="12"/>
        <v>0.026845652681657856</v>
      </c>
      <c r="R20" s="249"/>
      <c r="S20" s="261">
        <v>45322</v>
      </c>
      <c r="T20" s="353" t="s">
        <v>514</v>
      </c>
      <c r="U20" s="249"/>
    </row>
    <row r="21" spans="1:21" ht="15">
      <c r="A21" s="242">
        <v>27</v>
      </c>
      <c r="B21" s="258" t="str">
        <f t="shared" si="8"/>
        <v>Forward</v>
      </c>
      <c r="C21" s="249"/>
      <c r="D21" s="266" t="s">
        <v>505</v>
      </c>
      <c r="E21" s="259"/>
      <c r="F21" s="258" t="s">
        <v>502</v>
      </c>
      <c r="G21" s="258"/>
      <c r="H21" s="249"/>
      <c r="I21" s="260">
        <v>0.38</v>
      </c>
      <c r="J21" s="260">
        <v>0.40</v>
      </c>
      <c r="K21" s="260">
        <f t="shared" si="9"/>
        <v>0.39</v>
      </c>
      <c r="L21" s="249"/>
      <c r="M21" s="258" t="str">
        <f t="shared" si="10"/>
        <v>Estimate</v>
      </c>
      <c r="N21" s="260">
        <f>IFERROR((INDEX(z_BFIGLN0159_MO_OS_AflacUSAmortizationofdeferredpolicyacquisitioncosts,0,MATCH(F21,MO_Common_ColumnHeader,0))+INDEX(z_BFIGLN0159_MO_OS_AflacUSInsurancecommissions,0,MATCH(F21,MO_Common_ColumnHeader,0))+INDEX(z_BFIGLN0159_MO_OS_AflacUSInsuranceandotherexpenses,0,MATCH(F21,MO_Common_ColumnHeader,0)))/INDEX(z_BFIGLN0159_MO_OS_AflacUSTotalAdjustedRevenues,0,MATCH(F21,MO_Common_ColumnHeader,0)),"N/A")</f>
        <v>0.38201909785338711</v>
      </c>
      <c r="O21" s="249"/>
      <c r="P21" s="267">
        <f t="shared" si="11"/>
        <v>-0.0079809021466129004</v>
      </c>
      <c r="Q21" s="267">
        <f t="shared" si="12"/>
        <v>-0.020463851657981796</v>
      </c>
      <c r="R21" s="249"/>
      <c r="S21" s="261">
        <v>45322</v>
      </c>
      <c r="T21" s="353" t="s">
        <v>514</v>
      </c>
      <c r="U21" s="249"/>
    </row>
    <row r="22" spans="1:21" ht="15">
      <c r="A22" s="242">
        <v>26</v>
      </c>
      <c r="B22" s="258" t="str">
        <f t="shared" si="8"/>
        <v>Forward</v>
      </c>
      <c r="C22" s="249"/>
      <c r="D22" s="266" t="str">
        <f ca="1">INDEX(INDIRECT(E22),0,COLUMN(MO_Common_Column_A))</f>
        <v>Aflac U.S - Pretax adjusted earnings ratio, %</v>
      </c>
      <c r="E22" s="259" t="s">
        <v>503</v>
      </c>
      <c r="F22" s="258" t="s">
        <v>502</v>
      </c>
      <c r="G22" s="258"/>
      <c r="H22" s="249"/>
      <c r="I22" s="260">
        <v>0.19</v>
      </c>
      <c r="J22" s="260">
        <v>0.21</v>
      </c>
      <c r="K22" s="260">
        <f t="shared" si="9"/>
        <v>0.20</v>
      </c>
      <c r="L22" s="249"/>
      <c r="M22" s="258" t="str">
        <f t="shared" si="10"/>
        <v>Estimate</v>
      </c>
      <c r="N22" s="260">
        <f ca="1">IFERROR(INDEX(INDIRECT(E22),0,MATCH(F22,MO_Common_ColumnHeader,0)),"N/A")</f>
        <v>0.20809178868726164</v>
      </c>
      <c r="O22" s="249"/>
      <c r="P22" s="267">
        <f t="shared" ca="1" si="11"/>
        <v>0.0080917886872616251</v>
      </c>
      <c r="Q22" s="267">
        <f t="shared" ca="1" si="12"/>
        <v>0.040458943436308126</v>
      </c>
      <c r="R22" s="249"/>
      <c r="S22" s="261">
        <v>45322</v>
      </c>
      <c r="T22" s="353" t="s">
        <v>514</v>
      </c>
      <c r="U22" s="249"/>
    </row>
    <row r="23" spans="1:21" ht="15">
      <c r="A23" s="242">
        <v>25</v>
      </c>
      <c r="B23" s="258" t="str">
        <f t="shared" si="8"/>
        <v>Forward</v>
      </c>
      <c r="C23" s="249"/>
      <c r="D23" s="266" t="str">
        <f ca="1">INDEX(INDIRECT(E23),0,COLUMN(MO_Common_Column_A))</f>
        <v>Y/Y change in Aflac U.S - Net Premium Income, %</v>
      </c>
      <c r="E23" s="259" t="s">
        <v>506</v>
      </c>
      <c r="F23" s="258" t="s">
        <v>502</v>
      </c>
      <c r="G23" s="258"/>
      <c r="H23" s="249"/>
      <c r="I23" s="260">
        <v>0.03</v>
      </c>
      <c r="J23" s="260">
        <v>0.05</v>
      </c>
      <c r="K23" s="260">
        <f t="shared" si="9"/>
        <v>0.04</v>
      </c>
      <c r="L23" s="249"/>
      <c r="M23" s="258" t="str">
        <f t="shared" si="10"/>
        <v>Estimate</v>
      </c>
      <c r="N23" s="260">
        <f ca="1">IFERROR(INDEX(INDIRECT(E23),0,MATCH(F23,MO_Common_ColumnHeader,0)),"N/A")</f>
        <v>0.030505726872246619</v>
      </c>
      <c r="O23" s="249"/>
      <c r="P23" s="267">
        <f t="shared" ca="1" si="11"/>
        <v>-0.0094942731277533818</v>
      </c>
      <c r="Q23" s="267">
        <f t="shared" ca="1" si="12"/>
        <v>-0.23735682819383455</v>
      </c>
      <c r="R23" s="249"/>
      <c r="S23" s="261">
        <v>45322</v>
      </c>
      <c r="T23" s="353" t="s">
        <v>514</v>
      </c>
      <c r="U23" s="249"/>
    </row>
    <row r="24" spans="1:21" ht="15">
      <c r="A24" s="242">
        <v>24</v>
      </c>
      <c r="B24" s="249"/>
      <c r="C24" s="249"/>
      <c r="D24" s="246"/>
      <c r="E24" s="247"/>
      <c r="F24" s="249"/>
      <c r="G24" s="249"/>
      <c r="H24" s="249"/>
      <c r="I24" s="820"/>
      <c r="J24" s="820"/>
      <c r="K24" s="820"/>
      <c r="L24" s="249"/>
      <c r="M24" s="249"/>
      <c r="N24" s="820"/>
      <c r="O24" s="249"/>
      <c r="P24" s="306"/>
      <c r="Q24" s="147"/>
      <c r="R24" s="249"/>
      <c r="S24" s="250"/>
      <c r="T24" s="305"/>
      <c r="U24" s="249"/>
    </row>
    <row r="25" spans="1:21" ht="15">
      <c r="A25" s="242">
        <v>23</v>
      </c>
      <c r="B25" s="258" t="str">
        <f>IF(INDEX(MO_SNA_IsHistoricalPeriod,,MATCH(F25,MO_Common_ColumnHeader,0)),"Historical","Forward")</f>
        <v>Historical</v>
      </c>
      <c r="C25" s="249"/>
      <c r="D25" s="266" t="s">
        <v>309</v>
      </c>
      <c r="E25" s="259"/>
      <c r="F25" s="258" t="s">
        <v>302</v>
      </c>
      <c r="G25" s="258"/>
      <c r="H25" s="249"/>
      <c r="I25" s="263"/>
      <c r="J25" s="263"/>
      <c r="K25" s="263" t="s">
        <v>308</v>
      </c>
      <c r="L25" s="249"/>
      <c r="M25" s="258"/>
      <c r="N25" s="263"/>
      <c r="O25" s="249"/>
      <c r="P25" s="269"/>
      <c r="Q25" s="267"/>
      <c r="R25" s="249"/>
      <c r="S25" s="261">
        <v>43950</v>
      </c>
      <c r="T25" s="353" t="s">
        <v>244</v>
      </c>
      <c r="U25" s="249"/>
    </row>
    <row r="26" spans="1:21" ht="15">
      <c r="A26" s="242">
        <v>22</v>
      </c>
      <c r="B26" s="249"/>
      <c r="C26" s="249"/>
      <c r="D26" s="246"/>
      <c r="E26" s="247"/>
      <c r="F26" s="249"/>
      <c r="G26" s="249"/>
      <c r="H26" s="249"/>
      <c r="I26" s="820"/>
      <c r="J26" s="820"/>
      <c r="K26" s="820"/>
      <c r="L26" s="249"/>
      <c r="M26" s="249"/>
      <c r="N26" s="820"/>
      <c r="O26" s="249"/>
      <c r="P26" s="306"/>
      <c r="Q26" s="147"/>
      <c r="R26" s="249"/>
      <c r="S26" s="250"/>
      <c r="T26" s="305"/>
      <c r="U26" s="249"/>
    </row>
    <row r="27" spans="1:21" ht="15">
      <c r="A27" s="242">
        <v>21</v>
      </c>
      <c r="B27" s="258" t="str">
        <f>IF(INDEX(MO_SNA_IsHistoricalPeriod,,MATCH(F27,MO_Common_ColumnHeader,0)),"Historical","Forward")</f>
        <v>Historical</v>
      </c>
      <c r="C27" s="249"/>
      <c r="D27" s="266" t="s">
        <v>289</v>
      </c>
      <c r="E27" s="259"/>
      <c r="F27" s="258" t="s">
        <v>302</v>
      </c>
      <c r="G27" s="258"/>
      <c r="H27" s="249"/>
      <c r="I27" s="260">
        <v>-0.0070000000000000001</v>
      </c>
      <c r="J27" s="260">
        <v>-0.0070000000000000001</v>
      </c>
      <c r="K27" s="260">
        <f>AVERAGE(I27:J27)</f>
        <v>-0.0070000000000000001</v>
      </c>
      <c r="L27" s="249"/>
      <c r="M27" s="258" t="str">
        <f>IF(INDEX(MO_SNA_IsHistoricalPeriod,,MATCH(F27,MO_Common_ColumnHeader,0)),"Actual","Estimate")</f>
        <v>Actual</v>
      </c>
      <c r="N27" s="260" t="str">
        <f ca="1">IFERROR(INDEX(INDIRECT(E27),0,MATCH(F27,MO_Common_ColumnHeader,0)),"N/A")</f>
        <v>N/A</v>
      </c>
      <c r="O27" s="249"/>
      <c r="P27" s="267" t="str">
        <f ca="1">IF(ISNUMBER(N27),N27-K27,"N/A")</f>
        <v>N/A</v>
      </c>
      <c r="Q27" s="267" t="str">
        <f ca="1">IFERROR(IF(ISNUMBER(N27),(N27-K27)/ABS(K27),"N/A"),"N/A")</f>
        <v>N/A</v>
      </c>
      <c r="R27" s="249"/>
      <c r="S27" s="261">
        <v>43885</v>
      </c>
      <c r="T27" s="353" t="s">
        <v>244</v>
      </c>
      <c r="U27" s="249"/>
    </row>
    <row r="28" spans="1:21" ht="15">
      <c r="A28" s="242">
        <v>20</v>
      </c>
      <c r="B28" s="258" t="str">
        <f>IF(INDEX(MO_SNA_IsHistoricalPeriod,,MATCH(F28,MO_Common_ColumnHeader,0)),"Historical","Forward")</f>
        <v>Historical</v>
      </c>
      <c r="C28" s="249"/>
      <c r="D28" s="266" t="s">
        <v>247</v>
      </c>
      <c r="E28" s="259" t="s">
        <v>404</v>
      </c>
      <c r="F28" s="258" t="s">
        <v>302</v>
      </c>
      <c r="G28" s="258"/>
      <c r="H28" s="249"/>
      <c r="I28" s="260">
        <v>0.01</v>
      </c>
      <c r="J28" s="260">
        <v>0.01</v>
      </c>
      <c r="K28" s="260">
        <f>AVERAGE(I28:J28)</f>
        <v>0.01</v>
      </c>
      <c r="L28" s="249"/>
      <c r="M28" s="258" t="str">
        <f>IF(INDEX(MO_SNA_IsHistoricalPeriod,,MATCH(F28,MO_Common_ColumnHeader,0)),"Actual","Estimate")</f>
        <v>Actual</v>
      </c>
      <c r="N28" s="260">
        <f ca="1">IFERROR(INDEX(INDIRECT(E28),0,MATCH(F28,MO_Common_ColumnHeader,0)),"N/A")</f>
        <v>-0.0086088154269972073</v>
      </c>
      <c r="O28" s="249"/>
      <c r="P28" s="267">
        <f ca="1">IF(ISNUMBER(N28),N28-K28,"N/A")</f>
        <v>-0.018608815426997209</v>
      </c>
      <c r="Q28" s="267">
        <f ca="1">IFERROR(IF(ISNUMBER(N28),(N28-K28)/ABS(K28),"N/A"),"N/A")</f>
        <v>-1.8608815426997209</v>
      </c>
      <c r="R28" s="249"/>
      <c r="S28" s="261">
        <v>43885</v>
      </c>
      <c r="T28" s="353" t="s">
        <v>244</v>
      </c>
      <c r="U28" s="249"/>
    </row>
    <row r="29" spans="1:21" ht="15">
      <c r="A29" s="242">
        <v>19</v>
      </c>
      <c r="B29" s="258" t="str">
        <f>IF(INDEX(MO_SNA_IsHistoricalPeriod,,MATCH(F29,MO_Common_ColumnHeader,0)),"Historical","Forward")</f>
        <v>Historical</v>
      </c>
      <c r="C29" s="249"/>
      <c r="D29" s="266" t="str">
        <f ca="1">INDEX(INDIRECT(E29),0,COLUMN(MO_Common_Column_A))</f>
        <v>Purchases of treasury stock</v>
      </c>
      <c r="E29" s="259" t="s">
        <v>297</v>
      </c>
      <c r="F29" s="258" t="s">
        <v>302</v>
      </c>
      <c r="G29" s="258"/>
      <c r="H29" s="249"/>
      <c r="I29" s="262">
        <v>1300</v>
      </c>
      <c r="J29" s="262">
        <v>1700</v>
      </c>
      <c r="K29" s="262">
        <f>AVERAGE(I29:J29)</f>
        <v>1500</v>
      </c>
      <c r="L29" s="249"/>
      <c r="M29" s="258" t="str">
        <f>IF(INDEX(MO_SNA_IsHistoricalPeriod,,MATCH(F29,MO_Common_ColumnHeader,0)),"Actual","Estimate")</f>
        <v>Actual</v>
      </c>
      <c r="N29" s="262">
        <f ca="1">-(IFERROR(INDEX(INDIRECT(E29),0,MATCH(F29,MO_Common_ColumnHeader,0)),"N/A"))</f>
        <v>1537</v>
      </c>
      <c r="O29" s="249"/>
      <c r="P29" s="268">
        <f ca="1">IF(ISNUMBER(N29),N29-K29,"N/A")</f>
        <v>37</v>
      </c>
      <c r="Q29" s="267">
        <f ca="1">IFERROR(IF(ISNUMBER(N29),(N29-K29)/ABS(K29),"N/A"),"N/A")</f>
        <v>0.024666666666666667</v>
      </c>
      <c r="R29" s="249"/>
      <c r="S29" s="261">
        <v>43885</v>
      </c>
      <c r="T29" s="353" t="s">
        <v>244</v>
      </c>
      <c r="U29" s="249"/>
    </row>
    <row r="30" spans="1:21" ht="15">
      <c r="A30" s="242">
        <v>18</v>
      </c>
      <c r="B30" s="258" t="str">
        <f>IF(INDEX(MO_SNA_IsHistoricalPeriod,,MATCH(F30,MO_Common_ColumnHeader,0)),"Historical","Forward")</f>
        <v>Historical</v>
      </c>
      <c r="C30" s="249"/>
      <c r="D30" s="266" t="str">
        <f ca="1">INDEX(INDIRECT(E30),0,COLUMN(MO_Common_Column_A))</f>
        <v>Adjusted Earnings Per Share - WAD</v>
      </c>
      <c r="E30" s="259" t="s">
        <v>248</v>
      </c>
      <c r="F30" s="258" t="s">
        <v>302</v>
      </c>
      <c r="G30" s="258"/>
      <c r="H30" s="249"/>
      <c r="I30" s="263">
        <v>4.3200000000000003</v>
      </c>
      <c r="J30" s="263">
        <v>4.5199999999999996</v>
      </c>
      <c r="K30" s="263">
        <f>AVERAGE(I30:J30)</f>
        <v>4.42</v>
      </c>
      <c r="L30" s="249"/>
      <c r="M30" s="258" t="str">
        <f>IF(INDEX(MO_SNA_IsHistoricalPeriod,,MATCH(F30,MO_Common_ColumnHeader,0)),"Actual","Estimate")</f>
        <v>Actual</v>
      </c>
      <c r="N30" s="263">
        <f ca="1">IFERROR(INDEX(INDIRECT(E30),0,MATCH(F30,MO_Common_ColumnHeader,0)),"N/A")</f>
        <v>4.9162794334480138</v>
      </c>
      <c r="O30" s="249"/>
      <c r="P30" s="269">
        <f ca="1">IF(ISNUMBER(N30),N30-K30,"N/A")</f>
        <v>0.49627943344801384</v>
      </c>
      <c r="Q30" s="267">
        <f ca="1">IFERROR(IF(ISNUMBER(N30),(N30-K30)/ABS(K30),"N/A"),"N/A")</f>
        <v>0.11228041480724295</v>
      </c>
      <c r="R30" s="249"/>
      <c r="S30" s="261">
        <v>43885</v>
      </c>
      <c r="T30" s="353" t="s">
        <v>244</v>
      </c>
      <c r="U30" s="249"/>
    </row>
    <row r="31" spans="1:21" ht="15">
      <c r="A31" s="242">
        <v>17</v>
      </c>
      <c r="B31" s="249"/>
      <c r="C31" s="249"/>
      <c r="D31" s="246"/>
      <c r="E31" s="247"/>
      <c r="F31" s="249"/>
      <c r="G31" s="249"/>
      <c r="H31" s="249"/>
      <c r="I31" s="820"/>
      <c r="J31" s="820"/>
      <c r="K31" s="820"/>
      <c r="L31" s="249"/>
      <c r="M31" s="249"/>
      <c r="N31" s="820"/>
      <c r="O31" s="249"/>
      <c r="P31" s="306"/>
      <c r="Q31" s="147"/>
      <c r="R31" s="249"/>
      <c r="S31" s="250"/>
      <c r="T31" s="305"/>
      <c r="U31" s="249"/>
    </row>
    <row r="32" spans="1:21" ht="15">
      <c r="A32" s="242">
        <v>16</v>
      </c>
      <c r="B32" s="258" t="str">
        <f>IF(INDEX(MO_SNA_IsHistoricalPeriod,,MATCH(F32,MO_Common_ColumnHeader,0)),"Historical","Forward")</f>
        <v>Historical</v>
      </c>
      <c r="C32" s="249"/>
      <c r="D32" s="266" t="s">
        <v>289</v>
      </c>
      <c r="E32" s="259"/>
      <c r="F32" s="258" t="s">
        <v>288</v>
      </c>
      <c r="G32" s="258"/>
      <c r="H32" s="249"/>
      <c r="I32" s="260">
        <v>0.01</v>
      </c>
      <c r="J32" s="260">
        <v>0.02</v>
      </c>
      <c r="K32" s="260">
        <f>AVERAGE(I32:J32)</f>
        <v>0.015</v>
      </c>
      <c r="L32" s="249"/>
      <c r="M32" s="258" t="str">
        <f>IF(INDEX(MO_SNA_IsHistoricalPeriod,,MATCH(F32,MO_Common_ColumnHeader,0)),"Actual","Estimate")</f>
        <v>Actual</v>
      </c>
      <c r="N32" s="260" t="str">
        <f ca="1">IFERROR(INDEX(INDIRECT(E32),0,MATCH(F32,MO_Common_ColumnHeader,0)),"N/A")</f>
        <v>N/A</v>
      </c>
      <c r="O32" s="249"/>
      <c r="P32" s="267" t="str">
        <f ca="1">IF(ISNUMBER(N32),N32-K32,"N/A")</f>
        <v>N/A</v>
      </c>
      <c r="Q32" s="267" t="str">
        <f ca="1">IFERROR(IF(ISNUMBER(N32),(N32-K32)/ABS(K32),"N/A"),"N/A")</f>
        <v>N/A</v>
      </c>
      <c r="R32" s="249"/>
      <c r="S32" s="261">
        <v>43763</v>
      </c>
      <c r="T32" s="353" t="s">
        <v>244</v>
      </c>
      <c r="U32" s="249"/>
    </row>
    <row r="33" spans="1:21" ht="15">
      <c r="A33" s="242">
        <v>15</v>
      </c>
      <c r="B33" s="258" t="str">
        <f>IF(INDEX(MO_SNA_IsHistoricalPeriod,,MATCH(F33,MO_Common_ColumnHeader,0)),"Historical","Forward")</f>
        <v>Historical</v>
      </c>
      <c r="C33" s="249"/>
      <c r="D33" s="266" t="s">
        <v>247</v>
      </c>
      <c r="E33" s="259" t="s">
        <v>404</v>
      </c>
      <c r="F33" s="258" t="s">
        <v>288</v>
      </c>
      <c r="G33" s="258"/>
      <c r="H33" s="249"/>
      <c r="I33" s="260">
        <v>0.02</v>
      </c>
      <c r="J33" s="260">
        <v>0.02</v>
      </c>
      <c r="K33" s="260">
        <f>AVERAGE(I33:J33)</f>
        <v>0.02</v>
      </c>
      <c r="L33" s="249"/>
      <c r="M33" s="258" t="str">
        <f>IF(INDEX(MO_SNA_IsHistoricalPeriod,,MATCH(F33,MO_Common_ColumnHeader,0)),"Actual","Estimate")</f>
        <v>Actual</v>
      </c>
      <c r="N33" s="260">
        <f ca="1">IFERROR(INDEX(INDIRECT(E33),0,MATCH(F33,MO_Common_ColumnHeader,0)),"N/A")</f>
        <v>0.017519271198318087</v>
      </c>
      <c r="O33" s="249"/>
      <c r="P33" s="267">
        <f ca="1">IF(ISNUMBER(N33),N33-K33,"N/A")</f>
        <v>-0.0024807288016819133</v>
      </c>
      <c r="Q33" s="267">
        <f ca="1">IFERROR(IF(ISNUMBER(N33),(N33-K33)/ABS(K33),"N/A"),"N/A")</f>
        <v>-0.12403644008409566</v>
      </c>
      <c r="R33" s="249"/>
      <c r="S33" s="261">
        <v>43763</v>
      </c>
      <c r="T33" s="270" t="s">
        <v>244</v>
      </c>
      <c r="U33" s="249"/>
    </row>
    <row r="34" spans="1:21" ht="15">
      <c r="A34" s="242">
        <v>14</v>
      </c>
      <c r="B34" s="258" t="str">
        <f>IF(INDEX(MO_SNA_IsHistoricalPeriod,,MATCH(F34,MO_Common_ColumnHeader,0)),"Historical","Forward")</f>
        <v>Historical</v>
      </c>
      <c r="C34" s="249"/>
      <c r="D34" s="266" t="str">
        <f ca="1">INDEX(INDIRECT(E34),0,COLUMN(MO_Common_Column_A))</f>
        <v>Purchases of treasury stock</v>
      </c>
      <c r="E34" s="259" t="s">
        <v>297</v>
      </c>
      <c r="F34" s="258" t="s">
        <v>288</v>
      </c>
      <c r="G34" s="258"/>
      <c r="H34" s="249"/>
      <c r="I34" s="262">
        <v>1300</v>
      </c>
      <c r="J34" s="262">
        <v>1700</v>
      </c>
      <c r="K34" s="262">
        <f>AVERAGE(I34:J34)</f>
        <v>1500</v>
      </c>
      <c r="L34" s="249"/>
      <c r="M34" s="258" t="str">
        <f>IF(INDEX(MO_SNA_IsHistoricalPeriod,,MATCH(F34,MO_Common_ColumnHeader,0)),"Actual","Estimate")</f>
        <v>Actual</v>
      </c>
      <c r="N34" s="262">
        <f ca="1">-(IFERROR(INDEX(INDIRECT(E34),0,MATCH(F34,MO_Common_ColumnHeader,0)),"N/A"))</f>
        <v>1627</v>
      </c>
      <c r="O34" s="249"/>
      <c r="P34" s="268">
        <f ca="1">IF(ISNUMBER(N34),N34-K34,"N/A")</f>
        <v>127</v>
      </c>
      <c r="Q34" s="267">
        <f ca="1">IFERROR(IF(ISNUMBER(N34),(N34-K34)/ABS(K34),"N/A"),"N/A")</f>
        <v>0.084666666666666668</v>
      </c>
      <c r="R34" s="249"/>
      <c r="S34" s="261">
        <v>43763</v>
      </c>
      <c r="T34" s="270" t="s">
        <v>244</v>
      </c>
      <c r="U34" s="249"/>
    </row>
    <row r="35" spans="1:21" ht="15">
      <c r="A35" s="242">
        <v>13</v>
      </c>
      <c r="B35" s="258" t="str">
        <f>IF(INDEX(MO_SNA_IsHistoricalPeriod,,MATCH(F35,MO_Common_ColumnHeader,0)),"Historical","Forward")</f>
        <v>Historical</v>
      </c>
      <c r="C35" s="249"/>
      <c r="D35" s="266" t="str">
        <f ca="1">INDEX(INDIRECT(E35),0,COLUMN(MO_Common_Column_A))</f>
        <v>Adjusted Earnings Per Share - WAD</v>
      </c>
      <c r="E35" s="259" t="s">
        <v>248</v>
      </c>
      <c r="F35" s="258" t="s">
        <v>288</v>
      </c>
      <c r="G35" s="258"/>
      <c r="H35" s="249"/>
      <c r="I35" s="263">
        <v>4.3499999999999996</v>
      </c>
      <c r="J35" s="263">
        <v>4.45</v>
      </c>
      <c r="K35" s="263">
        <f>AVERAGE(I35:J35)</f>
        <v>4.4000000000000004</v>
      </c>
      <c r="L35" s="249"/>
      <c r="M35" s="258" t="str">
        <f>IF(INDEX(MO_SNA_IsHistoricalPeriod,,MATCH(F35,MO_Common_ColumnHeader,0)),"Actual","Estimate")</f>
        <v>Actual</v>
      </c>
      <c r="N35" s="263">
        <f ca="1">IFERROR(INDEX(INDIRECT(E35),0,MATCH(F35,MO_Common_ColumnHeader,0)),"N/A")</f>
        <v>4.4197044598957707</v>
      </c>
      <c r="O35" s="249"/>
      <c r="P35" s="269">
        <f ca="1">IF(ISNUMBER(N35),N35-K35,"N/A")</f>
        <v>0.019704459895770299</v>
      </c>
      <c r="Q35" s="267">
        <f ca="1">IFERROR(IF(ISNUMBER(N35),(N35-K35)/ABS(K35),"N/A"),"N/A")</f>
        <v>0.0044782863399477945</v>
      </c>
      <c r="R35" s="249"/>
      <c r="S35" s="261">
        <v>43763</v>
      </c>
      <c r="T35" s="270" t="s">
        <v>244</v>
      </c>
      <c r="U35" s="249"/>
    </row>
    <row r="36" spans="1:21" ht="15">
      <c r="A36" s="242">
        <v>12</v>
      </c>
      <c r="B36" s="249"/>
      <c r="C36" s="249"/>
      <c r="D36" s="246"/>
      <c r="E36" s="247"/>
      <c r="F36" s="249"/>
      <c r="G36" s="249"/>
      <c r="H36" s="249"/>
      <c r="I36" s="820"/>
      <c r="J36" s="820"/>
      <c r="K36" s="820"/>
      <c r="L36" s="249"/>
      <c r="M36" s="249"/>
      <c r="N36" s="820"/>
      <c r="O36" s="249"/>
      <c r="P36" s="306"/>
      <c r="Q36" s="147"/>
      <c r="R36" s="249"/>
      <c r="S36" s="250"/>
      <c r="T36" s="305"/>
      <c r="U36" s="249"/>
    </row>
    <row r="37" spans="1:21" ht="15">
      <c r="A37" s="242">
        <v>11</v>
      </c>
      <c r="B37" s="258" t="str">
        <f>IF(INDEX(MO_SNA_IsHistoricalPeriod,,MATCH(F37,MO_Common_ColumnHeader,0)),"Historical","Forward")</f>
        <v>Historical</v>
      </c>
      <c r="C37" s="249"/>
      <c r="D37" s="266" t="s">
        <v>289</v>
      </c>
      <c r="E37" s="259"/>
      <c r="F37" s="258" t="s">
        <v>288</v>
      </c>
      <c r="G37" s="258"/>
      <c r="H37" s="249"/>
      <c r="I37" s="260">
        <v>0.01</v>
      </c>
      <c r="J37" s="260">
        <v>0.02</v>
      </c>
      <c r="K37" s="260">
        <f>AVERAGE(I37:J37)</f>
        <v>0.015</v>
      </c>
      <c r="L37" s="249"/>
      <c r="M37" s="258" t="str">
        <f>IF(INDEX(MO_SNA_IsHistoricalPeriod,,MATCH(F37,MO_Common_ColumnHeader,0)),"Actual","Estimate")</f>
        <v>Actual</v>
      </c>
      <c r="N37" s="260" t="str">
        <f ca="1">IFERROR(INDEX(INDIRECT(E37),0,MATCH(F37,MO_Common_ColumnHeader,0)),"N/A")</f>
        <v>N/A</v>
      </c>
      <c r="O37" s="249"/>
      <c r="P37" s="267" t="str">
        <f ca="1">IF(ISNUMBER(N37),N37-K37,"N/A")</f>
        <v>N/A</v>
      </c>
      <c r="Q37" s="267" t="str">
        <f ca="1">IFERROR(IF(ISNUMBER(N37),(N37-K37)/ABS(K37),"N/A"),"N/A")</f>
        <v>N/A</v>
      </c>
      <c r="R37" s="249"/>
      <c r="S37" s="261">
        <v>43672</v>
      </c>
      <c r="T37" s="270" t="s">
        <v>244</v>
      </c>
      <c r="U37" s="249"/>
    </row>
    <row r="38" spans="1:21" ht="15">
      <c r="A38" s="242">
        <v>10</v>
      </c>
      <c r="B38" s="258" t="str">
        <f>IF(INDEX(MO_SNA_IsHistoricalPeriod,,MATCH(F38,MO_Common_ColumnHeader,0)),"Historical","Forward")</f>
        <v>Historical</v>
      </c>
      <c r="C38" s="249"/>
      <c r="D38" s="266" t="s">
        <v>247</v>
      </c>
      <c r="E38" s="259" t="s">
        <v>404</v>
      </c>
      <c r="F38" s="258" t="s">
        <v>288</v>
      </c>
      <c r="G38" s="258"/>
      <c r="H38" s="249"/>
      <c r="I38" s="260">
        <v>0.02</v>
      </c>
      <c r="J38" s="260">
        <v>0.03</v>
      </c>
      <c r="K38" s="260">
        <f>AVERAGE(I38:J38)</f>
        <v>0.025</v>
      </c>
      <c r="L38" s="249"/>
      <c r="M38" s="258" t="str">
        <f>IF(INDEX(MO_SNA_IsHistoricalPeriod,,MATCH(F38,MO_Common_ColumnHeader,0)),"Actual","Estimate")</f>
        <v>Actual</v>
      </c>
      <c r="N38" s="260">
        <f ca="1">IFERROR(INDEX(INDIRECT(E38),0,MATCH(F38,MO_Common_ColumnHeader,0)),"N/A")</f>
        <v>0.017519271198318087</v>
      </c>
      <c r="O38" s="249"/>
      <c r="P38" s="267">
        <f ca="1">IF(ISNUMBER(N38),N38-K38,"N/A")</f>
        <v>-0.0074807288016819143</v>
      </c>
      <c r="Q38" s="267">
        <f ca="1">IFERROR(IF(ISNUMBER(N38),(N38-K38)/ABS(K38),"N/A"),"N/A")</f>
        <v>-0.29922915206727657</v>
      </c>
      <c r="R38" s="249"/>
      <c r="S38" s="261">
        <v>43672</v>
      </c>
      <c r="T38" s="270" t="s">
        <v>244</v>
      </c>
      <c r="U38" s="249"/>
    </row>
    <row r="39" spans="1:21" ht="15">
      <c r="A39" s="242">
        <v>9</v>
      </c>
      <c r="B39" s="258" t="str">
        <f>IF(INDEX(MO_SNA_IsHistoricalPeriod,,MATCH(F39,MO_Common_ColumnHeader,0)),"Historical","Forward")</f>
        <v>Historical</v>
      </c>
      <c r="C39" s="249"/>
      <c r="D39" s="266" t="str">
        <f ca="1">INDEX(INDIRECT(E39),0,COLUMN(MO_Common_Column_A))</f>
        <v>Purchases of treasury stock</v>
      </c>
      <c r="E39" s="259" t="s">
        <v>297</v>
      </c>
      <c r="F39" s="258" t="s">
        <v>288</v>
      </c>
      <c r="G39" s="258"/>
      <c r="H39" s="249"/>
      <c r="I39" s="262">
        <v>1300</v>
      </c>
      <c r="J39" s="262">
        <v>1700</v>
      </c>
      <c r="K39" s="262">
        <f>AVERAGE(I39:J39)</f>
        <v>1500</v>
      </c>
      <c r="L39" s="249"/>
      <c r="M39" s="258" t="str">
        <f>IF(INDEX(MO_SNA_IsHistoricalPeriod,,MATCH(F39,MO_Common_ColumnHeader,0)),"Actual","Estimate")</f>
        <v>Actual</v>
      </c>
      <c r="N39" s="262">
        <f ca="1">-(IFERROR(INDEX(INDIRECT(E39),0,MATCH(F39,MO_Common_ColumnHeader,0)),"N/A"))</f>
        <v>1627</v>
      </c>
      <c r="O39" s="249"/>
      <c r="P39" s="268">
        <f ca="1">IF(ISNUMBER(N39),N39-K39,"N/A")</f>
        <v>127</v>
      </c>
      <c r="Q39" s="267">
        <f ca="1">IFERROR(IF(ISNUMBER(N39),(N39-K39)/ABS(K39),"N/A"),"N/A")</f>
        <v>0.084666666666666668</v>
      </c>
      <c r="R39" s="249"/>
      <c r="S39" s="261">
        <v>43672</v>
      </c>
      <c r="T39" s="270" t="s">
        <v>244</v>
      </c>
      <c r="U39" s="249"/>
    </row>
    <row r="40" spans="1:21" ht="15">
      <c r="A40" s="242">
        <v>8</v>
      </c>
      <c r="B40" s="258" t="str">
        <f>IF(INDEX(MO_SNA_IsHistoricalPeriod,,MATCH(F40,MO_Common_ColumnHeader,0)),"Historical","Forward")</f>
        <v>Historical</v>
      </c>
      <c r="C40" s="249"/>
      <c r="D40" s="266" t="str">
        <f ca="1">INDEX(INDIRECT(E40),0,COLUMN(MO_Common_Column_A))</f>
        <v>Adjusted Earnings Per Share - WAD</v>
      </c>
      <c r="E40" s="259" t="s">
        <v>248</v>
      </c>
      <c r="F40" s="258" t="s">
        <v>288</v>
      </c>
      <c r="G40" s="258"/>
      <c r="H40" s="249"/>
      <c r="I40" s="263">
        <v>4.0999999999999996</v>
      </c>
      <c r="J40" s="263">
        <v>4.30</v>
      </c>
      <c r="K40" s="263">
        <f>AVERAGE(I40:J40)</f>
        <v>4.1999999999999993</v>
      </c>
      <c r="L40" s="249"/>
      <c r="M40" s="258" t="str">
        <f>IF(INDEX(MO_SNA_IsHistoricalPeriod,,MATCH(F40,MO_Common_ColumnHeader,0)),"Actual","Estimate")</f>
        <v>Actual</v>
      </c>
      <c r="N40" s="263">
        <f ca="1">IFERROR(INDEX(INDIRECT(E40),0,MATCH(F40,MO_Common_ColumnHeader,0)),"N/A")</f>
        <v>4.4197044598957707</v>
      </c>
      <c r="O40" s="249"/>
      <c r="P40" s="269">
        <f ca="1">IF(ISNUMBER(N40),N40-K40,"N/A")</f>
        <v>0.21970445989577136</v>
      </c>
      <c r="Q40" s="267">
        <f ca="1">IFERROR(IF(ISNUMBER(N40),(N40-K40)/ABS(K40),"N/A"),"N/A")</f>
        <v>0.052310585689469384</v>
      </c>
      <c r="R40" s="249"/>
      <c r="S40" s="261">
        <v>43672</v>
      </c>
      <c r="T40" s="270" t="s">
        <v>244</v>
      </c>
      <c r="U40" s="249"/>
    </row>
    <row r="41" spans="1:21" ht="15">
      <c r="A41" s="242">
        <v>7</v>
      </c>
      <c r="B41" s="249"/>
      <c r="C41" s="249"/>
      <c r="D41" s="246"/>
      <c r="E41" s="247"/>
      <c r="F41" s="249"/>
      <c r="G41" s="249"/>
      <c r="H41" s="249"/>
      <c r="I41" s="820"/>
      <c r="J41" s="820"/>
      <c r="K41" s="820"/>
      <c r="L41" s="249"/>
      <c r="M41" s="249"/>
      <c r="N41" s="820"/>
      <c r="O41" s="249"/>
      <c r="P41" s="306"/>
      <c r="Q41" s="147"/>
      <c r="R41" s="249"/>
      <c r="S41" s="250"/>
      <c r="T41" s="305"/>
      <c r="U41" s="249"/>
    </row>
    <row r="42" spans="1:21" ht="15">
      <c r="A42" s="242">
        <v>6</v>
      </c>
      <c r="B42" s="258" t="str">
        <f t="shared" si="13" ref="B42:B47">IF(INDEX(MO_SNA_IsHistoricalPeriod,,MATCH(F42,MO_Common_ColumnHeader,0)),"Historical","Forward")</f>
        <v>Historical</v>
      </c>
      <c r="C42" s="249"/>
      <c r="D42" s="266" t="s">
        <v>242</v>
      </c>
      <c r="E42" s="259"/>
      <c r="F42" s="258" t="s">
        <v>243</v>
      </c>
      <c r="G42" s="258"/>
      <c r="H42" s="249"/>
      <c r="I42" s="260">
        <v>0.02</v>
      </c>
      <c r="J42" s="260">
        <v>0.03</v>
      </c>
      <c r="K42" s="260">
        <f t="shared" si="14" ref="K42:K47">AVERAGE(I42:J42)</f>
        <v>0.025</v>
      </c>
      <c r="L42" s="249"/>
      <c r="M42" s="258" t="str">
        <f t="shared" si="15" ref="M42:M47">IF(INDEX(MO_SNA_IsHistoricalPeriod,,MATCH(F42,MO_Common_ColumnHeader,0)),"Actual","Estimate")</f>
        <v>Actual</v>
      </c>
      <c r="N42" s="260" t="str">
        <f ca="1">IFERROR(INDEX(INDIRECT(E42),0,MATCH(F42,MO_Common_ColumnHeader,0)),"N/A")</f>
        <v>N/A</v>
      </c>
      <c r="O42" s="249"/>
      <c r="P42" s="267" t="str">
        <f ca="1" t="shared" si="16" ref="P42:P47">IF(ISNUMBER(N42),N42-K42,"N/A")</f>
        <v>N/A</v>
      </c>
      <c r="Q42" s="267" t="str">
        <f ca="1" t="shared" si="17" ref="Q42:Q47">IFERROR(IF(ISNUMBER(N42),(N42-K42)/ABS(K42),"N/A"),"N/A")</f>
        <v>N/A</v>
      </c>
      <c r="R42" s="249"/>
      <c r="S42" s="261">
        <v>43405</v>
      </c>
      <c r="T42" s="270" t="s">
        <v>244</v>
      </c>
      <c r="U42" s="249"/>
    </row>
    <row r="43" spans="1:21" ht="15">
      <c r="A43" s="242">
        <v>5</v>
      </c>
      <c r="B43" s="258" t="str">
        <f t="shared" si="13"/>
        <v>Historical</v>
      </c>
      <c r="C43" s="249"/>
      <c r="D43" s="266" t="s">
        <v>245</v>
      </c>
      <c r="E43" s="259"/>
      <c r="F43" s="258" t="s">
        <v>243</v>
      </c>
      <c r="G43" s="258"/>
      <c r="H43" s="249"/>
      <c r="I43" s="260">
        <v>0.02</v>
      </c>
      <c r="J43" s="260">
        <v>0.03</v>
      </c>
      <c r="K43" s="260">
        <f t="shared" si="14"/>
        <v>0.025</v>
      </c>
      <c r="L43" s="249"/>
      <c r="M43" s="258" t="str">
        <f t="shared" si="15"/>
        <v>Actual</v>
      </c>
      <c r="N43" s="260" t="str">
        <f ca="1">IFERROR(INDEX(INDIRECT(E43),0,MATCH(F43,MO_Common_ColumnHeader,0)),"N/A")</f>
        <v>N/A</v>
      </c>
      <c r="O43" s="249"/>
      <c r="P43" s="267" t="str">
        <f t="shared" ca="1" si="16"/>
        <v>N/A</v>
      </c>
      <c r="Q43" s="267" t="str">
        <f t="shared" ca="1" si="17"/>
        <v>N/A</v>
      </c>
      <c r="R43" s="249"/>
      <c r="S43" s="261">
        <v>43405</v>
      </c>
      <c r="T43" s="270" t="s">
        <v>244</v>
      </c>
      <c r="U43" s="249"/>
    </row>
    <row r="44" spans="1:21" ht="15">
      <c r="A44" s="242">
        <v>4</v>
      </c>
      <c r="B44" s="258" t="str">
        <f t="shared" si="13"/>
        <v>Historical</v>
      </c>
      <c r="C44" s="249"/>
      <c r="D44" s="266" t="s">
        <v>246</v>
      </c>
      <c r="E44" s="259"/>
      <c r="F44" s="258" t="s">
        <v>243</v>
      </c>
      <c r="G44" s="258"/>
      <c r="H44" s="249"/>
      <c r="I44" s="260">
        <v>0.03</v>
      </c>
      <c r="J44" s="260">
        <v>0.05</v>
      </c>
      <c r="K44" s="260">
        <f t="shared" si="14"/>
        <v>0.04</v>
      </c>
      <c r="L44" s="249"/>
      <c r="M44" s="258" t="str">
        <f t="shared" si="15"/>
        <v>Actual</v>
      </c>
      <c r="N44" s="260" t="str">
        <f ca="1">IFERROR(INDEX(INDIRECT(E44),0,MATCH(F44,MO_Common_ColumnHeader,0)),"N/A")</f>
        <v>N/A</v>
      </c>
      <c r="O44" s="249"/>
      <c r="P44" s="267" t="str">
        <f t="shared" ca="1" si="16"/>
        <v>N/A</v>
      </c>
      <c r="Q44" s="267" t="str">
        <f t="shared" ca="1" si="17"/>
        <v>N/A</v>
      </c>
      <c r="R44" s="249"/>
      <c r="S44" s="261">
        <v>43405</v>
      </c>
      <c r="T44" s="270" t="s">
        <v>244</v>
      </c>
      <c r="U44" s="249"/>
    </row>
    <row r="45" spans="1:21" ht="15">
      <c r="A45" s="242">
        <v>3</v>
      </c>
      <c r="B45" s="258" t="str">
        <f t="shared" si="13"/>
        <v>Historical</v>
      </c>
      <c r="C45" s="249"/>
      <c r="D45" s="266" t="s">
        <v>247</v>
      </c>
      <c r="E45" s="259" t="s">
        <v>404</v>
      </c>
      <c r="F45" s="258" t="s">
        <v>243</v>
      </c>
      <c r="G45" s="258"/>
      <c r="H45" s="249"/>
      <c r="I45" s="260">
        <v>0.02</v>
      </c>
      <c r="J45" s="260">
        <v>0.03</v>
      </c>
      <c r="K45" s="260">
        <f t="shared" si="14"/>
        <v>0.025</v>
      </c>
      <c r="L45" s="249"/>
      <c r="M45" s="258" t="str">
        <f t="shared" si="15"/>
        <v>Actual</v>
      </c>
      <c r="N45" s="260">
        <f ca="1">IFERROR(INDEX(INDIRECT(E45),0,MATCH(F45,MO_Common_ColumnHeader,0)),"N/A")</f>
        <v>0.026065072802444744</v>
      </c>
      <c r="O45" s="249"/>
      <c r="P45" s="267">
        <f t="shared" ca="1" si="16"/>
        <v>0.0010650728024447428</v>
      </c>
      <c r="Q45" s="267">
        <f t="shared" ca="1" si="17"/>
        <v>0.042602912097789714</v>
      </c>
      <c r="R45" s="249"/>
      <c r="S45" s="261">
        <v>43405</v>
      </c>
      <c r="T45" s="270" t="s">
        <v>244</v>
      </c>
      <c r="U45" s="249"/>
    </row>
    <row r="46" spans="1:21" ht="15">
      <c r="A46" s="242">
        <v>2</v>
      </c>
      <c r="B46" s="258" t="str">
        <f t="shared" si="13"/>
        <v>Historical</v>
      </c>
      <c r="C46" s="249"/>
      <c r="D46" s="266" t="str">
        <f ca="1">INDEX(INDIRECT(E46),0,COLUMN(MO_Common_Column_A))</f>
        <v>Purchases of treasury stock</v>
      </c>
      <c r="E46" s="259" t="s">
        <v>297</v>
      </c>
      <c r="F46" s="258" t="s">
        <v>243</v>
      </c>
      <c r="G46" s="258"/>
      <c r="H46" s="249"/>
      <c r="I46" s="262">
        <v>1100</v>
      </c>
      <c r="J46" s="262">
        <v>1400</v>
      </c>
      <c r="K46" s="262">
        <f t="shared" si="14"/>
        <v>1250</v>
      </c>
      <c r="L46" s="249"/>
      <c r="M46" s="258" t="str">
        <f t="shared" si="15"/>
        <v>Actual</v>
      </c>
      <c r="N46" s="262">
        <f ca="1">-(IFERROR(INDEX(INDIRECT(E46),0,MATCH(F46,MO_Common_ColumnHeader,0)),"N/A"))</f>
        <v>1301</v>
      </c>
      <c r="O46" s="249"/>
      <c r="P46" s="268">
        <f t="shared" ca="1" si="16"/>
        <v>51</v>
      </c>
      <c r="Q46" s="267">
        <f t="shared" ca="1" si="17"/>
        <v>0.040800000000000003</v>
      </c>
      <c r="R46" s="249"/>
      <c r="S46" s="261">
        <v>43405</v>
      </c>
      <c r="T46" s="270" t="s">
        <v>244</v>
      </c>
      <c r="U46" s="249"/>
    </row>
    <row r="47" spans="1:21" ht="15">
      <c r="A47" s="242">
        <v>1</v>
      </c>
      <c r="B47" s="258" t="str">
        <f t="shared" si="13"/>
        <v>Historical</v>
      </c>
      <c r="C47" s="249"/>
      <c r="D47" s="266" t="str">
        <f ca="1">INDEX(INDIRECT(E47),0,COLUMN(MO_Common_Column_A))</f>
        <v>Adjusted Earnings Per Share - WAD</v>
      </c>
      <c r="E47" s="259" t="s">
        <v>248</v>
      </c>
      <c r="F47" s="258" t="s">
        <v>243</v>
      </c>
      <c r="G47" s="258"/>
      <c r="H47" s="249"/>
      <c r="I47" s="263">
        <v>3.90</v>
      </c>
      <c r="J47" s="263">
        <v>4.0599999999999996</v>
      </c>
      <c r="K47" s="263">
        <f t="shared" si="14"/>
        <v>3.9799999999999995</v>
      </c>
      <c r="L47" s="249"/>
      <c r="M47" s="258" t="str">
        <f t="shared" si="15"/>
        <v>Actual</v>
      </c>
      <c r="N47" s="263">
        <f ca="1">IFERROR(INDEX(INDIRECT(E47),0,MATCH(F47,MO_Common_ColumnHeader,0)),"N/A")</f>
        <v>4.128316013683599</v>
      </c>
      <c r="O47" s="249"/>
      <c r="P47" s="269">
        <f t="shared" ca="1" si="16"/>
        <v>0.14831601368359948</v>
      </c>
      <c r="Q47" s="267">
        <f t="shared" ca="1" si="17"/>
        <v>0.037265330071256153</v>
      </c>
      <c r="R47" s="249"/>
      <c r="S47" s="261">
        <v>43405</v>
      </c>
      <c r="T47" s="270" t="s">
        <v>244</v>
      </c>
      <c r="U47" s="249"/>
    </row>
    <row r="48" spans="1:21" ht="15">
      <c r="A48" s="242">
        <v>0</v>
      </c>
      <c r="B48" s="249"/>
      <c r="C48" s="249"/>
      <c r="D48" s="249"/>
      <c r="E48" s="247"/>
      <c r="F48" s="249"/>
      <c r="G48" s="249"/>
      <c r="H48" s="249"/>
      <c r="I48" s="820"/>
      <c r="J48" s="820"/>
      <c r="K48" s="820"/>
      <c r="L48" s="249"/>
      <c r="M48" s="249"/>
      <c r="N48" s="820"/>
      <c r="O48" s="249"/>
      <c r="P48" s="253"/>
      <c r="Q48" s="148"/>
      <c r="R48" s="249"/>
      <c r="S48" s="250"/>
      <c r="T48" s="251"/>
      <c r="U48" s="249"/>
    </row>
  </sheetData>
  <autoFilter ref="A5:U5"/>
  <conditionalFormatting sqref="Q1:Q3 Q5 Q22 Q37 Q42:Q44 Q48:Q50">
    <cfRule type="colorScale" priority="51">
      <colorScale>
        <cfvo type="num" val="-0.1"/>
        <cfvo type="num" val="0"/>
        <cfvo type="num" val="0.1"/>
        <color rgb="FFF8696B"/>
        <color rgb="FFFFEB84"/>
        <color rgb="FF63BE7B"/>
      </colorScale>
    </cfRule>
  </conditionalFormatting>
  <conditionalFormatting sqref="Q45">
    <cfRule type="colorScale" priority="49">
      <colorScale>
        <cfvo type="num" val="-0.1"/>
        <cfvo type="num" val="0"/>
        <cfvo type="num" val="0.1"/>
        <color rgb="FFF8696B"/>
        <color rgb="FFFFEB84"/>
        <color rgb="FF63BE7B"/>
      </colorScale>
    </cfRule>
  </conditionalFormatting>
  <conditionalFormatting sqref="Q46">
    <cfRule type="colorScale" priority="48">
      <colorScale>
        <cfvo type="num" val="-0.1"/>
        <cfvo type="num" val="0"/>
        <cfvo type="num" val="0.1"/>
        <color rgb="FFF8696B"/>
        <color rgb="FFFFEB84"/>
        <color rgb="FF63BE7B"/>
      </colorScale>
    </cfRule>
  </conditionalFormatting>
  <conditionalFormatting sqref="Q47">
    <cfRule type="colorScale" priority="47">
      <colorScale>
        <cfvo type="num" val="-0.1"/>
        <cfvo type="num" val="0"/>
        <cfvo type="num" val="0.1"/>
        <color rgb="FFF8696B"/>
        <color rgb="FFFFEB84"/>
        <color rgb="FF63BE7B"/>
      </colorScale>
    </cfRule>
  </conditionalFormatting>
  <conditionalFormatting sqref="Q41">
    <cfRule type="colorScale" priority="46">
      <colorScale>
        <cfvo type="num" val="-0.1"/>
        <cfvo type="num" val="0"/>
        <cfvo type="num" val="0.1"/>
        <color rgb="FFF8696B"/>
        <color rgb="FFFFEB84"/>
        <color rgb="FF63BE7B"/>
      </colorScale>
    </cfRule>
  </conditionalFormatting>
  <conditionalFormatting sqref="Q38">
    <cfRule type="colorScale" priority="41">
      <colorScale>
        <cfvo type="num" val="-0.1"/>
        <cfvo type="num" val="0"/>
        <cfvo type="num" val="0.1"/>
        <color rgb="FFF8696B"/>
        <color rgb="FFFFEB84"/>
        <color rgb="FF63BE7B"/>
      </colorScale>
    </cfRule>
  </conditionalFormatting>
  <conditionalFormatting sqref="Q39">
    <cfRule type="colorScale" priority="40">
      <colorScale>
        <cfvo type="num" val="-0.1"/>
        <cfvo type="num" val="0"/>
        <cfvo type="num" val="0.1"/>
        <color rgb="FFF8696B"/>
        <color rgb="FFFFEB84"/>
        <color rgb="FF63BE7B"/>
      </colorScale>
    </cfRule>
  </conditionalFormatting>
  <conditionalFormatting sqref="Q40">
    <cfRule type="colorScale" priority="39">
      <colorScale>
        <cfvo type="num" val="-0.1"/>
        <cfvo type="num" val="0"/>
        <cfvo type="num" val="0.1"/>
        <color rgb="FFF8696B"/>
        <color rgb="FFFFEB84"/>
        <color rgb="FF63BE7B"/>
      </colorScale>
    </cfRule>
  </conditionalFormatting>
  <conditionalFormatting sqref="Q32">
    <cfRule type="colorScale" priority="38">
      <colorScale>
        <cfvo type="num" val="-0.1"/>
        <cfvo type="num" val="0"/>
        <cfvo type="num" val="0.1"/>
        <color rgb="FFF8696B"/>
        <color rgb="FFFFEB84"/>
        <color rgb="FF63BE7B"/>
      </colorScale>
    </cfRule>
  </conditionalFormatting>
  <conditionalFormatting sqref="Q36">
    <cfRule type="colorScale" priority="37">
      <colorScale>
        <cfvo type="num" val="-0.1"/>
        <cfvo type="num" val="0"/>
        <cfvo type="num" val="0.1"/>
        <color rgb="FFF8696B"/>
        <color rgb="FFFFEB84"/>
        <color rgb="FF63BE7B"/>
      </colorScale>
    </cfRule>
  </conditionalFormatting>
  <conditionalFormatting sqref="Q33">
    <cfRule type="colorScale" priority="36">
      <colorScale>
        <cfvo type="num" val="-0.1"/>
        <cfvo type="num" val="0"/>
        <cfvo type="num" val="0.1"/>
        <color rgb="FFF8696B"/>
        <color rgb="FFFFEB84"/>
        <color rgb="FF63BE7B"/>
      </colorScale>
    </cfRule>
  </conditionalFormatting>
  <conditionalFormatting sqref="Q34">
    <cfRule type="colorScale" priority="35">
      <colorScale>
        <cfvo type="num" val="-0.1"/>
        <cfvo type="num" val="0"/>
        <cfvo type="num" val="0.1"/>
        <color rgb="FFF8696B"/>
        <color rgb="FFFFEB84"/>
        <color rgb="FF63BE7B"/>
      </colorScale>
    </cfRule>
  </conditionalFormatting>
  <conditionalFormatting sqref="Q35">
    <cfRule type="colorScale" priority="34">
      <colorScale>
        <cfvo type="num" val="-0.1"/>
        <cfvo type="num" val="0"/>
        <cfvo type="num" val="0.1"/>
        <color rgb="FFF8696B"/>
        <color rgb="FFFFEB84"/>
        <color rgb="FF63BE7B"/>
      </colorScale>
    </cfRule>
  </conditionalFormatting>
  <conditionalFormatting sqref="Q27">
    <cfRule type="colorScale" priority="33">
      <colorScale>
        <cfvo type="num" val="-0.1"/>
        <cfvo type="num" val="0"/>
        <cfvo type="num" val="0.1"/>
        <color rgb="FFF8696B"/>
        <color rgb="FFFFEB84"/>
        <color rgb="FF63BE7B"/>
      </colorScale>
    </cfRule>
  </conditionalFormatting>
  <conditionalFormatting sqref="Q31">
    <cfRule type="colorScale" priority="32">
      <colorScale>
        <cfvo type="num" val="-0.1"/>
        <cfvo type="num" val="0"/>
        <cfvo type="num" val="0.1"/>
        <color rgb="FFF8696B"/>
        <color rgb="FFFFEB84"/>
        <color rgb="FF63BE7B"/>
      </colorScale>
    </cfRule>
  </conditionalFormatting>
  <conditionalFormatting sqref="Q28">
    <cfRule type="colorScale" priority="31">
      <colorScale>
        <cfvo type="num" val="-0.1"/>
        <cfvo type="num" val="0"/>
        <cfvo type="num" val="0.1"/>
        <color rgb="FFF8696B"/>
        <color rgb="FFFFEB84"/>
        <color rgb="FF63BE7B"/>
      </colorScale>
    </cfRule>
  </conditionalFormatting>
  <conditionalFormatting sqref="Q29">
    <cfRule type="colorScale" priority="30">
      <colorScale>
        <cfvo type="num" val="-0.1"/>
        <cfvo type="num" val="0"/>
        <cfvo type="num" val="0.1"/>
        <color rgb="FFF8696B"/>
        <color rgb="FFFFEB84"/>
        <color rgb="FF63BE7B"/>
      </colorScale>
    </cfRule>
  </conditionalFormatting>
  <conditionalFormatting sqref="Q30">
    <cfRule type="colorScale" priority="29">
      <colorScale>
        <cfvo type="num" val="-0.1"/>
        <cfvo type="num" val="0"/>
        <cfvo type="num" val="0.1"/>
        <color rgb="FFF8696B"/>
        <color rgb="FFFFEB84"/>
        <color rgb="FF63BE7B"/>
      </colorScale>
    </cfRule>
  </conditionalFormatting>
  <conditionalFormatting sqref="Q25">
    <cfRule type="colorScale" priority="28">
      <colorScale>
        <cfvo type="num" val="-0.1"/>
        <cfvo type="num" val="0"/>
        <cfvo type="num" val="0.1"/>
        <color rgb="FFF8696B"/>
        <color rgb="FFFFEB84"/>
        <color rgb="FF63BE7B"/>
      </colorScale>
    </cfRule>
  </conditionalFormatting>
  <conditionalFormatting sqref="Q26">
    <cfRule type="colorScale" priority="27">
      <colorScale>
        <cfvo type="num" val="-0.1"/>
        <cfvo type="num" val="0"/>
        <cfvo type="num" val="0.1"/>
        <color rgb="FFF8696B"/>
        <color rgb="FFFFEB84"/>
        <color rgb="FF63BE7B"/>
      </colorScale>
    </cfRule>
  </conditionalFormatting>
  <conditionalFormatting sqref="Q24">
    <cfRule type="colorScale" priority="25">
      <colorScale>
        <cfvo type="num" val="-0.1"/>
        <cfvo type="num" val="0"/>
        <cfvo type="num" val="0.1"/>
        <color rgb="FFF8696B"/>
        <color rgb="FFFFEB84"/>
        <color rgb="FF63BE7B"/>
      </colorScale>
    </cfRule>
  </conditionalFormatting>
  <conditionalFormatting sqref="Q20">
    <cfRule type="colorScale" priority="21">
      <colorScale>
        <cfvo type="num" val="-0.1"/>
        <cfvo type="num" val="0"/>
        <cfvo type="num" val="0.1"/>
        <color rgb="FFF8696B"/>
        <color rgb="FFFFEB84"/>
        <color rgb="FF63BE7B"/>
      </colorScale>
    </cfRule>
  </conditionalFormatting>
  <conditionalFormatting sqref="Q21">
    <cfRule type="colorScale" priority="20">
      <colorScale>
        <cfvo type="num" val="-0.1"/>
        <cfvo type="num" val="0"/>
        <cfvo type="num" val="0.1"/>
        <color rgb="FFF8696B"/>
        <color rgb="FFFFEB84"/>
        <color rgb="FF63BE7B"/>
      </colorScale>
    </cfRule>
  </conditionalFormatting>
  <conditionalFormatting sqref="Q23">
    <cfRule type="colorScale" priority="19">
      <colorScale>
        <cfvo type="num" val="-0.1"/>
        <cfvo type="num" val="0"/>
        <cfvo type="num" val="0.1"/>
        <color rgb="FFF8696B"/>
        <color rgb="FFFFEB84"/>
        <color rgb="FF63BE7B"/>
      </colorScale>
    </cfRule>
  </conditionalFormatting>
  <conditionalFormatting sqref="Q18">
    <cfRule type="colorScale" priority="18">
      <colorScale>
        <cfvo type="num" val="-0.1"/>
        <cfvo type="num" val="0"/>
        <cfvo type="num" val="0.1"/>
        <color rgb="FFF8696B"/>
        <color rgb="FFFFEB84"/>
        <color rgb="FF63BE7B"/>
      </colorScale>
    </cfRule>
  </conditionalFormatting>
  <conditionalFormatting sqref="Q16">
    <cfRule type="colorScale" priority="17">
      <colorScale>
        <cfvo type="num" val="-0.1"/>
        <cfvo type="num" val="0"/>
        <cfvo type="num" val="0.1"/>
        <color rgb="FFF8696B"/>
        <color rgb="FFFFEB84"/>
        <color rgb="FF63BE7B"/>
      </colorScale>
    </cfRule>
  </conditionalFormatting>
  <conditionalFormatting sqref="Q17">
    <cfRule type="colorScale" priority="16">
      <colorScale>
        <cfvo type="num" val="-0.1"/>
        <cfvo type="num" val="0"/>
        <cfvo type="num" val="0.1"/>
        <color rgb="FFF8696B"/>
        <color rgb="FFFFEB84"/>
        <color rgb="FF63BE7B"/>
      </colorScale>
    </cfRule>
  </conditionalFormatting>
  <conditionalFormatting sqref="Q19">
    <cfRule type="colorScale" priority="15">
      <colorScale>
        <cfvo type="num" val="-0.1"/>
        <cfvo type="num" val="0"/>
        <cfvo type="num" val="0.1"/>
        <color rgb="FFF8696B"/>
        <color rgb="FFFFEB84"/>
        <color rgb="FF63BE7B"/>
      </colorScale>
    </cfRule>
  </conditionalFormatting>
  <conditionalFormatting sqref="Q15">
    <cfRule type="colorScale" priority="13">
      <colorScale>
        <cfvo type="num" val="-0.1"/>
        <cfvo type="num" val="0"/>
        <cfvo type="num" val="0.1"/>
        <color rgb="FFF8696B"/>
        <color rgb="FFFFEB84"/>
        <color rgb="FF63BE7B"/>
      </colorScale>
    </cfRule>
  </conditionalFormatting>
  <conditionalFormatting sqref="Q13:Q14">
    <cfRule type="colorScale" priority="12">
      <colorScale>
        <cfvo type="num" val="-0.1"/>
        <cfvo type="num" val="0"/>
        <cfvo type="num" val="0.1"/>
        <color rgb="FFF8696B"/>
        <color rgb="FFFFEB84"/>
        <color rgb="FF63BE7B"/>
      </colorScale>
    </cfRule>
  </conditionalFormatting>
  <conditionalFormatting sqref="Q11">
    <cfRule type="colorScale" priority="11">
      <colorScale>
        <cfvo type="num" val="-0.1"/>
        <cfvo type="num" val="0"/>
        <cfvo type="num" val="0.1"/>
        <color rgb="FFF8696B"/>
        <color rgb="FFFFEB84"/>
        <color rgb="FF63BE7B"/>
      </colorScale>
    </cfRule>
  </conditionalFormatting>
  <conditionalFormatting sqref="Q12">
    <cfRule type="colorScale" priority="10">
      <colorScale>
        <cfvo type="num" val="-0.1"/>
        <cfvo type="num" val="0"/>
        <cfvo type="num" val="0.1"/>
        <color rgb="FFF8696B"/>
        <color rgb="FFFFEB84"/>
        <color rgb="FF63BE7B"/>
      </colorScale>
    </cfRule>
  </conditionalFormatting>
  <conditionalFormatting sqref="Q9">
    <cfRule type="colorScale" priority="9">
      <colorScale>
        <cfvo type="num" val="-0.1"/>
        <cfvo type="num" val="0"/>
        <cfvo type="num" val="0.1"/>
        <color rgb="FFF8696B"/>
        <color rgb="FFFFEB84"/>
        <color rgb="FF63BE7B"/>
      </colorScale>
    </cfRule>
  </conditionalFormatting>
  <conditionalFormatting sqref="Q10">
    <cfRule type="colorScale" priority="8">
      <colorScale>
        <cfvo type="num" val="-0.1"/>
        <cfvo type="num" val="0"/>
        <cfvo type="num" val="0.1"/>
        <color rgb="FFF8696B"/>
        <color rgb="FFFFEB84"/>
        <color rgb="FF63BE7B"/>
      </colorScale>
    </cfRule>
  </conditionalFormatting>
  <conditionalFormatting sqref="Q8">
    <cfRule type="colorScale" priority="6">
      <colorScale>
        <cfvo type="num" val="-0.1"/>
        <cfvo type="num" val="0"/>
        <cfvo type="num" val="0.1"/>
        <color rgb="FFF8696B"/>
        <color rgb="FFFFEB84"/>
        <color rgb="FF63BE7B"/>
      </colorScale>
    </cfRule>
  </conditionalFormatting>
  <conditionalFormatting sqref="Q6">
    <cfRule type="colorScale" priority="5">
      <colorScale>
        <cfvo type="num" val="-0.1"/>
        <cfvo type="num" val="0"/>
        <cfvo type="num" val="0.1"/>
        <color rgb="FFF8696B"/>
        <color rgb="FFFFEB84"/>
        <color rgb="FF63BE7B"/>
      </colorScale>
    </cfRule>
  </conditionalFormatting>
  <conditionalFormatting sqref="Q7">
    <cfRule type="colorScale" priority="4">
      <colorScale>
        <cfvo type="num" val="-0.1"/>
        <cfvo type="num" val="0"/>
        <cfvo type="num" val="0.1"/>
        <color rgb="FFF8696B"/>
        <color rgb="FFFFEB84"/>
        <color rgb="FF63BE7B"/>
      </colorScale>
    </cfRule>
  </conditionalFormatting>
  <hyperlinks>
    <hyperlink ref="T42" r:id="rId1" display="Press Release"/>
    <hyperlink ref="T43" r:id="rId2" display="Press Release"/>
    <hyperlink ref="T44" r:id="rId3" display="Press Release"/>
    <hyperlink ref="T45" r:id="rId4" display="Press Release"/>
    <hyperlink ref="T46" r:id="rId5" display="Press Release"/>
    <hyperlink ref="T47" r:id="rId6" display="Press Release"/>
    <hyperlink ref="T37" r:id="rId7" display="Press Release"/>
    <hyperlink ref="T38:T40" r:id="rId8" display="Press Release"/>
    <hyperlink ref="T32" r:id="rId9" display="Press Release"/>
    <hyperlink ref="T33:T35" r:id="rId10" display="Press Release"/>
    <hyperlink ref="T27" r:id="rId11" display="Press Release"/>
    <hyperlink ref="T28" r:id="rId12" display="Press Release"/>
    <hyperlink ref="T29" r:id="rId13" display="Press Release"/>
    <hyperlink ref="T30" r:id="rId14" display="Press Release"/>
    <hyperlink ref="T25" r:id="rId15" display="Press Release"/>
    <hyperlink ref="T22" r:id="rId16" display="Investor Presentation"/>
    <hyperlink ref="T16" r:id="rId17" display="Investor Presentation"/>
    <hyperlink ref="T17" r:id="rId18" display="Investor Presentation"/>
    <hyperlink ref="T18" r:id="rId19" display="Investor Presentation"/>
    <hyperlink ref="T19" r:id="rId20" display="Investor Presentation"/>
    <hyperlink ref="T20" r:id="rId21" display="Investor Presentation"/>
    <hyperlink ref="T21" r:id="rId22" display="Investor Presentation"/>
    <hyperlink ref="T23" r:id="rId23" display="Investor Presentation"/>
    <hyperlink ref="T13" r:id="rId24" display="Investor Presentation"/>
    <hyperlink ref="T14" r:id="rId25" display="Investor Presentation"/>
    <hyperlink ref="T11" r:id="rId26" display="Investor Presentation"/>
    <hyperlink ref="T6" r:id="rId27" display="Investor Presentation"/>
    <hyperlink ref="T7" r:id="rId28" display="Investor Presentation"/>
    <hyperlink ref="T8" r:id="rId29" display="Investor Presentation"/>
    <hyperlink ref="T9" r:id="rId30" display="Investor Presentation"/>
    <hyperlink ref="T10" r:id="rId31" display="Investor Presentation"/>
  </hyperlinks>
  <pageMargins left="0.7" right="0.7" top="0.75" bottom="0.75" header="0.3" footer="0.3"/>
  <pageSetup orientation="portrait" paperSize="1" r:id="rId34"/>
  <legacyDrawing r:id="rId3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B8DFA91F-DB1C-4096-97A5-2A4D808EFD11}">
  <sheetPr codeName="Sheet1">
    <pageSetUpPr fitToPage="1"/>
  </sheetPr>
  <dimension ref="A1:BS69"/>
  <sheetViews>
    <sheetView workbookViewId="0" topLeftCell="A1">
      <pane xSplit="2" ySplit="2" topLeftCell="C3" activePane="bottomRight" state="frozen"/>
      <selection pane="topLeft" activeCell="A1" sqref="A1"/>
      <selection pane="bottomLeft" activeCell="A3" sqref="A3"/>
      <selection pane="topRight" activeCell="C1" sqref="C1"/>
      <selection pane="bottomRight" activeCell="A1" sqref="A1"/>
    </sheetView>
  </sheetViews>
  <sheetFormatPr defaultColWidth="9.284285714285714" defaultRowHeight="15" outlineLevelRow="1" outlineLevelCol="1"/>
  <cols>
    <col min="1" max="1" width="41.285714285714285" style="235" customWidth="1"/>
    <col min="2" max="7" width="10.714285714285714" style="235" customWidth="1"/>
    <col min="8" max="11" width="10.714285714285714" style="235" hidden="1" customWidth="1" outlineLevel="1"/>
    <col min="12" max="12" width="10.714285714285714" style="235" customWidth="1" collapsed="1"/>
    <col min="13" max="16" width="10.714285714285714" style="235" hidden="1" customWidth="1" outlineLevel="1"/>
    <col min="17" max="17" width="10.714285714285714" style="235" customWidth="1" collapsed="1"/>
    <col min="18" max="21" width="10.714285714285714" style="235" hidden="1" customWidth="1" outlineLevel="1"/>
    <col min="22" max="22" width="10.714285714285714" style="235" customWidth="1" collapsed="1"/>
    <col min="23" max="26" width="10.714285714285714" style="235" hidden="1" customWidth="1" outlineLevel="1"/>
    <col min="27" max="27" width="10.714285714285714" style="235" customWidth="1" collapsed="1"/>
    <col min="28" max="31" width="10.714285714285714" style="235" hidden="1" customWidth="1" outlineLevel="1"/>
    <col min="32" max="32" width="10.714285714285714" style="235" customWidth="1" collapsed="1"/>
    <col min="33" max="36" width="10.714285714285714" style="235" hidden="1" customWidth="1" outlineLevel="1"/>
    <col min="37" max="37" width="10.714285714285714" style="235" customWidth="1" collapsed="1"/>
    <col min="38" max="41" width="10.714285714285714" style="235" hidden="1" customWidth="1" outlineLevel="1"/>
    <col min="42" max="42" width="10.714285714285714" style="235" customWidth="1" collapsed="1"/>
    <col min="43" max="46" width="10.714285714285714" style="235" hidden="1" customWidth="1" outlineLevel="1"/>
    <col min="47" max="47" width="10.714285714285714" style="235" collapsed="1"/>
    <col min="48" max="51" width="10.714285714285714" style="235" hidden="1" customWidth="1" outlineLevel="1"/>
    <col min="52" max="52" width="10.714285714285714" style="235" customWidth="1" collapsed="1"/>
    <col min="53" max="55" width="10.714285714285714" style="235" hidden="1" customWidth="1" outlineLevel="1" collapsed="1"/>
    <col min="56" max="56" width="10.714285714285714" style="235" hidden="1" customWidth="1" outlineLevel="1"/>
    <col min="57" max="57" width="10.714285714285714" style="235" customWidth="1" collapsed="1"/>
    <col min="58" max="60" width="10.714285714285714" style="235" customWidth="1" outlineLevel="1" collapsed="1"/>
    <col min="61" max="61" width="10.714285714285714" style="235" customWidth="1" outlineLevel="1"/>
    <col min="62" max="62" width="10.714285714285714" style="235" customWidth="1"/>
    <col min="63" max="65" width="10.714285714285714" style="235" hidden="1" customWidth="1" outlineLevel="1" collapsed="1"/>
    <col min="66" max="66" width="10.714285714285714" style="235" hidden="1" customWidth="1" outlineLevel="1"/>
    <col min="67" max="67" width="10.714285714285714" style="235" customWidth="1" collapsed="1"/>
    <col min="68" max="70" width="10.714285714285714" style="235" customWidth="1"/>
    <col min="71" max="71" width="8.714285714285714" style="235" customWidth="1"/>
    <col min="72" max="73" width="9.285714285714286" style="235" customWidth="1"/>
    <col min="74" max="16384" width="9.285714285714286" style="235"/>
  </cols>
  <sheetData>
    <row r="1" spans="1:71" ht="28.5">
      <c r="A1" s="191" t="str">
        <f>MO.CompanyName</f>
        <v>Aflac Incorporated</v>
      </c>
      <c r="B1" s="820"/>
      <c r="C1" s="1075">
        <f t="shared" si="0" ref="C1:AZ1">INDEX(MO_Common_QEndDate,0,COLUMN())</f>
        <v>40178</v>
      </c>
      <c r="D1" s="1076">
        <f t="shared" si="0"/>
        <v>40543</v>
      </c>
      <c r="E1" s="1076">
        <f t="shared" si="0"/>
        <v>40908</v>
      </c>
      <c r="F1" s="1076">
        <f t="shared" si="0"/>
        <v>41274</v>
      </c>
      <c r="G1" s="1076">
        <f t="shared" si="0"/>
        <v>41639</v>
      </c>
      <c r="H1" s="186">
        <f t="shared" si="0"/>
        <v>41729</v>
      </c>
      <c r="I1" s="186">
        <f t="shared" si="0"/>
        <v>41820</v>
      </c>
      <c r="J1" s="186">
        <f t="shared" si="0"/>
        <v>41912</v>
      </c>
      <c r="K1" s="186">
        <f t="shared" si="0"/>
        <v>42004</v>
      </c>
      <c r="L1" s="1076">
        <f t="shared" si="0"/>
        <v>42004</v>
      </c>
      <c r="M1" s="186">
        <f t="shared" si="0"/>
        <v>42094</v>
      </c>
      <c r="N1" s="186">
        <f t="shared" si="0"/>
        <v>42185</v>
      </c>
      <c r="O1" s="186">
        <f t="shared" si="0"/>
        <v>42277</v>
      </c>
      <c r="P1" s="186">
        <f t="shared" si="0"/>
        <v>42369</v>
      </c>
      <c r="Q1" s="1076">
        <f t="shared" si="0"/>
        <v>42369</v>
      </c>
      <c r="R1" s="186">
        <f t="shared" si="0"/>
        <v>42460</v>
      </c>
      <c r="S1" s="186">
        <f t="shared" si="0"/>
        <v>42551</v>
      </c>
      <c r="T1" s="186">
        <f t="shared" si="0"/>
        <v>42643</v>
      </c>
      <c r="U1" s="186">
        <f t="shared" si="0"/>
        <v>42735</v>
      </c>
      <c r="V1" s="1076">
        <f t="shared" si="0"/>
        <v>42735</v>
      </c>
      <c r="W1" s="186">
        <f t="shared" si="0"/>
        <v>42825</v>
      </c>
      <c r="X1" s="186">
        <f t="shared" si="0"/>
        <v>42916</v>
      </c>
      <c r="Y1" s="186">
        <f t="shared" si="0"/>
        <v>43008</v>
      </c>
      <c r="Z1" s="186">
        <f t="shared" si="0"/>
        <v>43100</v>
      </c>
      <c r="AA1" s="1076">
        <f t="shared" si="0"/>
        <v>43100</v>
      </c>
      <c r="AB1" s="186">
        <f t="shared" si="0"/>
        <v>43190</v>
      </c>
      <c r="AC1" s="186">
        <f t="shared" si="0"/>
        <v>43281</v>
      </c>
      <c r="AD1" s="186">
        <f t="shared" si="0"/>
        <v>43373</v>
      </c>
      <c r="AE1" s="186">
        <f t="shared" si="0"/>
        <v>43465</v>
      </c>
      <c r="AF1" s="1076">
        <f t="shared" si="0"/>
        <v>43465</v>
      </c>
      <c r="AG1" s="186">
        <f t="shared" si="0"/>
        <v>43555</v>
      </c>
      <c r="AH1" s="186">
        <f t="shared" si="0"/>
        <v>43646</v>
      </c>
      <c r="AI1" s="186">
        <f t="shared" si="0"/>
        <v>43738</v>
      </c>
      <c r="AJ1" s="186">
        <f t="shared" si="0"/>
        <v>43830</v>
      </c>
      <c r="AK1" s="1076">
        <f t="shared" si="0"/>
        <v>43830</v>
      </c>
      <c r="AL1" s="186">
        <f t="shared" si="0"/>
        <v>43921</v>
      </c>
      <c r="AM1" s="186">
        <f t="shared" si="0"/>
        <v>44012</v>
      </c>
      <c r="AN1" s="186">
        <f t="shared" si="0"/>
        <v>44104</v>
      </c>
      <c r="AO1" s="186">
        <f t="shared" si="0"/>
        <v>44196</v>
      </c>
      <c r="AP1" s="1076">
        <f t="shared" si="0"/>
        <v>44196</v>
      </c>
      <c r="AQ1" s="186">
        <f t="shared" si="0"/>
        <v>44286</v>
      </c>
      <c r="AR1" s="186">
        <f t="shared" si="0"/>
        <v>44377</v>
      </c>
      <c r="AS1" s="186">
        <f t="shared" si="0"/>
        <v>44469</v>
      </c>
      <c r="AT1" s="186">
        <f t="shared" si="0"/>
        <v>44561</v>
      </c>
      <c r="AU1" s="1076">
        <f t="shared" si="0"/>
        <v>44561</v>
      </c>
      <c r="AV1" s="186">
        <f t="shared" si="0"/>
        <v>44651</v>
      </c>
      <c r="AW1" s="186">
        <f t="shared" si="0"/>
        <v>44742</v>
      </c>
      <c r="AX1" s="186">
        <f t="shared" si="0"/>
        <v>44834</v>
      </c>
      <c r="AY1" s="186">
        <f t="shared" si="0"/>
        <v>44926</v>
      </c>
      <c r="AZ1" s="1076">
        <f t="shared" si="0"/>
        <v>44926</v>
      </c>
      <c r="BA1" s="186">
        <f t="shared" si="1" ref="BA1:BE1">INDEX(MO_Common_QEndDate,0,COLUMN())</f>
        <v>45016</v>
      </c>
      <c r="BB1" s="186">
        <f t="shared" si="1"/>
        <v>45107</v>
      </c>
      <c r="BC1" s="186">
        <f>INDEX(MO_Common_QEndDate,0,COLUMN())</f>
        <v>45199</v>
      </c>
      <c r="BD1" s="186">
        <f t="shared" si="1"/>
        <v>45291</v>
      </c>
      <c r="BE1" s="1076">
        <f t="shared" si="1"/>
        <v>45291</v>
      </c>
      <c r="BF1" s="186">
        <f t="shared" si="2" ref="BF1:BJ1">INDEX(MO_Common_QEndDate,0,COLUMN())</f>
        <v>45382</v>
      </c>
      <c r="BG1" s="186">
        <f t="shared" si="2"/>
        <v>45473</v>
      </c>
      <c r="BH1" s="771">
        <f>INDEX(MO_Common_QEndDate,0,COLUMN())</f>
        <v>45565</v>
      </c>
      <c r="BI1" s="186">
        <f t="shared" si="2"/>
        <v>45657</v>
      </c>
      <c r="BJ1" s="1076">
        <f t="shared" si="2"/>
        <v>45657</v>
      </c>
      <c r="BK1" s="186">
        <f t="shared" si="3" ref="BK1:BR1">INDEX(MO_Common_QEndDate,0,COLUMN())</f>
        <v>45747</v>
      </c>
      <c r="BL1" s="186">
        <f t="shared" si="3"/>
        <v>45838</v>
      </c>
      <c r="BM1" s="186">
        <f t="shared" si="3"/>
        <v>45930</v>
      </c>
      <c r="BN1" s="186">
        <f t="shared" si="3"/>
        <v>46022</v>
      </c>
      <c r="BO1" s="1076">
        <f t="shared" si="3"/>
        <v>46022</v>
      </c>
      <c r="BP1" s="1076">
        <f t="shared" si="3"/>
        <v>46387</v>
      </c>
      <c r="BQ1" s="1076">
        <f t="shared" si="3"/>
        <v>46752</v>
      </c>
      <c r="BR1" s="1076">
        <f t="shared" si="3"/>
        <v>47118</v>
      </c>
      <c r="BS1" s="820"/>
    </row>
    <row r="2" spans="1:71" ht="15">
      <c r="A2" s="192" t="s">
        <v>249</v>
      </c>
      <c r="B2" s="193" t="str">
        <f>MO.ReportFX</f>
        <v>USD</v>
      </c>
      <c r="C2" s="268" t="str">
        <f t="shared" si="4" ref="C2:AZ2">INDEX(MO_Common_ColumnHeader,0,COLUMN())</f>
        <v>FY2009</v>
      </c>
      <c r="D2" s="1077" t="str">
        <f t="shared" si="4"/>
        <v>FY2010</v>
      </c>
      <c r="E2" s="1077" t="str">
        <f t="shared" si="4"/>
        <v>FY2011</v>
      </c>
      <c r="F2" s="1077" t="str">
        <f t="shared" si="4"/>
        <v>FY2012</v>
      </c>
      <c r="G2" s="1077" t="str">
        <f t="shared" si="4"/>
        <v>FY2013</v>
      </c>
      <c r="H2" s="135" t="str">
        <f t="shared" si="4"/>
        <v>Q1-2014</v>
      </c>
      <c r="I2" s="135" t="str">
        <f t="shared" si="4"/>
        <v>Q2-2014</v>
      </c>
      <c r="J2" s="135" t="str">
        <f t="shared" si="4"/>
        <v>Q3-2014</v>
      </c>
      <c r="K2" s="135" t="str">
        <f t="shared" si="4"/>
        <v>Q4-2014</v>
      </c>
      <c r="L2" s="1077" t="str">
        <f t="shared" si="4"/>
        <v>FY2014</v>
      </c>
      <c r="M2" s="135" t="str">
        <f t="shared" si="4"/>
        <v>Q1-2015</v>
      </c>
      <c r="N2" s="135" t="str">
        <f t="shared" si="4"/>
        <v>Q2-2015</v>
      </c>
      <c r="O2" s="135" t="str">
        <f t="shared" si="4"/>
        <v>Q3-2015</v>
      </c>
      <c r="P2" s="135" t="str">
        <f t="shared" si="4"/>
        <v>Q4-2015</v>
      </c>
      <c r="Q2" s="1077" t="str">
        <f t="shared" si="4"/>
        <v>FY2015</v>
      </c>
      <c r="R2" s="135" t="str">
        <f t="shared" si="4"/>
        <v>Q1-2016</v>
      </c>
      <c r="S2" s="135" t="str">
        <f t="shared" si="4"/>
        <v>Q2-2016</v>
      </c>
      <c r="T2" s="135" t="str">
        <f t="shared" si="4"/>
        <v>Q3-2016</v>
      </c>
      <c r="U2" s="135" t="str">
        <f t="shared" si="4"/>
        <v>Q4-2016</v>
      </c>
      <c r="V2" s="1077" t="str">
        <f t="shared" si="4"/>
        <v>FY2016</v>
      </c>
      <c r="W2" s="135" t="str">
        <f t="shared" si="4"/>
        <v>Q1-2017</v>
      </c>
      <c r="X2" s="135" t="str">
        <f t="shared" si="4"/>
        <v>Q2-2017</v>
      </c>
      <c r="Y2" s="135" t="str">
        <f t="shared" si="4"/>
        <v>Q3-2017</v>
      </c>
      <c r="Z2" s="135" t="str">
        <f t="shared" si="4"/>
        <v>Q4-2017</v>
      </c>
      <c r="AA2" s="1077" t="str">
        <f t="shared" si="4"/>
        <v>FY2017</v>
      </c>
      <c r="AB2" s="135" t="str">
        <f t="shared" si="4"/>
        <v>Q1-2018</v>
      </c>
      <c r="AC2" s="135" t="str">
        <f t="shared" si="4"/>
        <v>Q2-2018</v>
      </c>
      <c r="AD2" s="135" t="str">
        <f t="shared" si="4"/>
        <v>Q3-2018</v>
      </c>
      <c r="AE2" s="135" t="str">
        <f t="shared" si="4"/>
        <v>Q4-2018</v>
      </c>
      <c r="AF2" s="1077" t="str">
        <f t="shared" si="4"/>
        <v>FY2018</v>
      </c>
      <c r="AG2" s="135" t="str">
        <f t="shared" si="4"/>
        <v>Q1-2019</v>
      </c>
      <c r="AH2" s="135" t="str">
        <f t="shared" si="4"/>
        <v>Q2-2019</v>
      </c>
      <c r="AI2" s="135" t="str">
        <f t="shared" si="4"/>
        <v>Q3-2019</v>
      </c>
      <c r="AJ2" s="135" t="str">
        <f t="shared" si="4"/>
        <v>Q4-2019</v>
      </c>
      <c r="AK2" s="1077" t="str">
        <f t="shared" si="4"/>
        <v>FY2019</v>
      </c>
      <c r="AL2" s="135" t="str">
        <f t="shared" si="4"/>
        <v>Q1-2020</v>
      </c>
      <c r="AM2" s="135" t="str">
        <f t="shared" si="4"/>
        <v>Q2-2020</v>
      </c>
      <c r="AN2" s="135" t="str">
        <f t="shared" si="4"/>
        <v>Q3-2020</v>
      </c>
      <c r="AO2" s="135" t="str">
        <f t="shared" si="4"/>
        <v>Q4-2020</v>
      </c>
      <c r="AP2" s="1077" t="str">
        <f t="shared" si="4"/>
        <v>FY2020</v>
      </c>
      <c r="AQ2" s="135" t="str">
        <f t="shared" si="4"/>
        <v>Q1-2021</v>
      </c>
      <c r="AR2" s="135" t="str">
        <f t="shared" si="4"/>
        <v>Q2-2021</v>
      </c>
      <c r="AS2" s="135" t="str">
        <f t="shared" si="4"/>
        <v>Q3-2021</v>
      </c>
      <c r="AT2" s="135" t="str">
        <f t="shared" si="4"/>
        <v>Q4-2021</v>
      </c>
      <c r="AU2" s="1077" t="str">
        <f t="shared" si="4"/>
        <v>FY2021</v>
      </c>
      <c r="AV2" s="135" t="str">
        <f t="shared" si="4"/>
        <v>Q1-2022</v>
      </c>
      <c r="AW2" s="135" t="str">
        <f t="shared" si="4"/>
        <v>Q2-2022</v>
      </c>
      <c r="AX2" s="135" t="str">
        <f t="shared" si="4"/>
        <v>Q3-2022</v>
      </c>
      <c r="AY2" s="135" t="str">
        <f t="shared" si="4"/>
        <v>Q4-2022</v>
      </c>
      <c r="AZ2" s="1077" t="str">
        <f t="shared" si="4"/>
        <v>FY2022</v>
      </c>
      <c r="BA2" s="135" t="str">
        <f t="shared" si="5" ref="BA2:BE2">INDEX(MO_Common_ColumnHeader,0,COLUMN())</f>
        <v>Q1-2023</v>
      </c>
      <c r="BB2" s="135" t="str">
        <f t="shared" si="5"/>
        <v>Q2-2023</v>
      </c>
      <c r="BC2" s="135" t="str">
        <f>INDEX(MO_Common_ColumnHeader,0,COLUMN())</f>
        <v>Q3-2023</v>
      </c>
      <c r="BD2" s="135" t="str">
        <f t="shared" si="5"/>
        <v>Q4-2023</v>
      </c>
      <c r="BE2" s="1077" t="str">
        <f t="shared" si="5"/>
        <v>FY2023</v>
      </c>
      <c r="BF2" s="135" t="str">
        <f t="shared" si="6" ref="BF2:BJ2">INDEX(MO_Common_ColumnHeader,0,COLUMN())</f>
        <v>Q1-2024</v>
      </c>
      <c r="BG2" s="135" t="str">
        <f t="shared" si="6"/>
        <v>Q2-2024</v>
      </c>
      <c r="BH2" s="772" t="str">
        <f>INDEX(MO_Common_ColumnHeader,0,COLUMN())</f>
        <v>Q3-2024</v>
      </c>
      <c r="BI2" s="135" t="str">
        <f t="shared" si="6"/>
        <v>Q4-2024</v>
      </c>
      <c r="BJ2" s="1077" t="str">
        <f t="shared" si="6"/>
        <v>FY2024</v>
      </c>
      <c r="BK2" s="135" t="str">
        <f t="shared" si="7" ref="BK2:BR2">INDEX(MO_Common_ColumnHeader,0,COLUMN())</f>
        <v>Q1-2025</v>
      </c>
      <c r="BL2" s="135" t="str">
        <f t="shared" si="7"/>
        <v>Q2-2025</v>
      </c>
      <c r="BM2" s="135" t="str">
        <f t="shared" si="7"/>
        <v>Q3-2025</v>
      </c>
      <c r="BN2" s="135" t="str">
        <f t="shared" si="7"/>
        <v>Q4-2025</v>
      </c>
      <c r="BO2" s="1077" t="str">
        <f t="shared" si="7"/>
        <v>FY2025</v>
      </c>
      <c r="BP2" s="1077" t="str">
        <f t="shared" si="7"/>
        <v>FY2026</v>
      </c>
      <c r="BQ2" s="1077" t="str">
        <f t="shared" si="7"/>
        <v>FY2027</v>
      </c>
      <c r="BR2" s="1077" t="str">
        <f t="shared" si="7"/>
        <v>FY2028</v>
      </c>
      <c r="BS2" s="820"/>
    </row>
    <row r="3" spans="1:71" ht="15">
      <c r="A3" s="131" t="s">
        <v>250</v>
      </c>
      <c r="B3" s="131"/>
      <c r="C3" s="131"/>
      <c r="D3" s="131"/>
      <c r="E3" s="131"/>
      <c r="F3" s="131"/>
      <c r="G3" s="131"/>
      <c r="H3" s="131"/>
      <c r="I3" s="131"/>
      <c r="J3" s="131"/>
      <c r="K3" s="131"/>
      <c r="L3" s="131"/>
      <c r="M3" s="131"/>
      <c r="N3" s="131"/>
      <c r="O3" s="131"/>
      <c r="P3" s="131"/>
      <c r="Q3" s="131"/>
      <c r="R3" s="131"/>
      <c r="S3" s="131"/>
      <c r="T3" s="131"/>
      <c r="U3" s="131"/>
      <c r="V3" s="131"/>
      <c r="W3" s="131"/>
      <c r="X3" s="131"/>
      <c r="Y3" s="131"/>
      <c r="Z3" s="131"/>
      <c r="AA3" s="131"/>
      <c r="AB3" s="131"/>
      <c r="AC3" s="131"/>
      <c r="AD3" s="131"/>
      <c r="AE3" s="131"/>
      <c r="AF3" s="131"/>
      <c r="AG3" s="131"/>
      <c r="AH3" s="131"/>
      <c r="AI3" s="131"/>
      <c r="AJ3" s="131"/>
      <c r="AK3" s="131"/>
      <c r="AL3" s="131"/>
      <c r="AM3" s="131"/>
      <c r="AN3" s="131"/>
      <c r="AO3" s="131"/>
      <c r="AP3" s="131"/>
      <c r="AQ3" s="131"/>
      <c r="AR3" s="131"/>
      <c r="AS3" s="131"/>
      <c r="AT3" s="131"/>
      <c r="AU3" s="131"/>
      <c r="AV3" s="131"/>
      <c r="AW3" s="131"/>
      <c r="AX3" s="131"/>
      <c r="AY3" s="131"/>
      <c r="AZ3" s="131"/>
      <c r="BA3" s="131"/>
      <c r="BB3" s="131"/>
      <c r="BC3" s="131"/>
      <c r="BD3" s="131"/>
      <c r="BE3" s="131"/>
      <c r="BF3" s="131"/>
      <c r="BG3" s="131"/>
      <c r="BH3" s="561"/>
      <c r="BI3" s="131"/>
      <c r="BJ3" s="131"/>
      <c r="BK3" s="131"/>
      <c r="BL3" s="131"/>
      <c r="BM3" s="131"/>
      <c r="BN3" s="131"/>
      <c r="BO3" s="131"/>
      <c r="BP3" s="131"/>
      <c r="BQ3" s="131"/>
      <c r="BR3" s="131"/>
      <c r="BS3" s="209"/>
    </row>
    <row r="4" spans="1:71" s="50" customFormat="1" ht="15">
      <c r="A4" s="460" t="str">
        <f>"Stock Price - "&amp;SP.ValuationToggle</f>
        <v>Stock Price - EoP</v>
      </c>
      <c r="B4" s="211" t="s">
        <v>469</v>
      </c>
      <c r="C4" s="1078">
        <f t="shared" si="8" ref="C4:AH4">IF(INDEX(MO_SNA_IsHistoricalPeriod,1,COLUMN())=FALSE,MO.LastPrice/HP.MRFX,CHOOSE(VLOOKUP(SP.ValuationToggle,tb_ValuationToggle,COLUMNS(tb_ValuationToggle),FALSE),INDEX(MO_SPT_StockHigh,1,COLUMN()),INDEX(MO_SPT_StockLow,1,COLUMN()),INDEX(MO_SPT_StockAverage,1,COLUMN()),INDEX(MO_SPT_StockEoP,1,COLUMN()))/IF(SP.ValuationToggle="EoP",IF(INDEX(MO_SPT_FXEoP,1,COLUMN())=0,1,INDEX(MO_SPT_FXEoP,1,COLUMN())),IF(INDEX(MO_SPT_FXAverage,1,COLUMN())=0,1,INDEX(MO_SPT_FXAverage,1,COLUMN()))))</f>
        <v>23.44</v>
      </c>
      <c r="D4" s="1078">
        <f t="shared" si="8"/>
        <v>28.045</v>
      </c>
      <c r="E4" s="1078">
        <f t="shared" si="8"/>
        <v>21.63</v>
      </c>
      <c r="F4" s="1078">
        <f t="shared" si="8"/>
        <v>26.125</v>
      </c>
      <c r="G4" s="1078">
        <f t="shared" si="8"/>
        <v>33.345</v>
      </c>
      <c r="H4" s="304">
        <f t="shared" si="8"/>
        <v>31.33</v>
      </c>
      <c r="I4" s="304">
        <f t="shared" si="8"/>
        <v>31.36</v>
      </c>
      <c r="J4" s="304">
        <f t="shared" si="8"/>
        <v>29.235</v>
      </c>
      <c r="K4" s="304">
        <f t="shared" si="8"/>
        <v>30.99</v>
      </c>
      <c r="L4" s="1078">
        <f t="shared" si="8"/>
        <v>30.99</v>
      </c>
      <c r="M4" s="304">
        <f t="shared" si="8"/>
        <v>32.10</v>
      </c>
      <c r="N4" s="304">
        <f t="shared" si="8"/>
        <v>30.72</v>
      </c>
      <c r="O4" s="304">
        <f t="shared" si="8"/>
        <v>28.86</v>
      </c>
      <c r="P4" s="304">
        <f t="shared" si="8"/>
        <v>30.26</v>
      </c>
      <c r="Q4" s="1078">
        <f t="shared" si="8"/>
        <v>30.26</v>
      </c>
      <c r="R4" s="304">
        <f t="shared" si="8"/>
        <v>31.865</v>
      </c>
      <c r="S4" s="304">
        <f t="shared" si="8"/>
        <v>35.04</v>
      </c>
      <c r="T4" s="304">
        <f t="shared" si="8"/>
        <v>35.78</v>
      </c>
      <c r="U4" s="304">
        <f t="shared" si="8"/>
        <v>34.799999999999997</v>
      </c>
      <c r="V4" s="1078">
        <f t="shared" si="8"/>
        <v>34.799999999999997</v>
      </c>
      <c r="W4" s="304">
        <f t="shared" si="8"/>
        <v>36.159999999999997</v>
      </c>
      <c r="X4" s="304">
        <f t="shared" si="8"/>
        <v>38.799999999999997</v>
      </c>
      <c r="Y4" s="304">
        <f t="shared" si="8"/>
        <v>40.695</v>
      </c>
      <c r="Z4" s="304">
        <f t="shared" si="8"/>
        <v>43.89</v>
      </c>
      <c r="AA4" s="1078">
        <f t="shared" si="8"/>
        <v>43.89</v>
      </c>
      <c r="AB4" s="304">
        <f t="shared" si="8"/>
        <v>43.76</v>
      </c>
      <c r="AC4" s="304">
        <f t="shared" si="8"/>
        <v>43.02</v>
      </c>
      <c r="AD4" s="304">
        <f t="shared" si="8"/>
        <v>47.07</v>
      </c>
      <c r="AE4" s="304">
        <f t="shared" si="8"/>
        <v>44.95</v>
      </c>
      <c r="AF4" s="1078">
        <f t="shared" si="8"/>
        <v>44.95</v>
      </c>
      <c r="AG4" s="304">
        <f t="shared" si="8"/>
        <v>50</v>
      </c>
      <c r="AH4" s="304">
        <f t="shared" si="8"/>
        <v>54.81</v>
      </c>
      <c r="AI4" s="304">
        <f t="shared" si="9" ref="AI4:BJ4">IF(INDEX(MO_SNA_IsHistoricalPeriod,1,COLUMN())=FALSE,MO.LastPrice/HP.MRFX,CHOOSE(VLOOKUP(SP.ValuationToggle,tb_ValuationToggle,COLUMNS(tb_ValuationToggle),FALSE),INDEX(MO_SPT_StockHigh,1,COLUMN()),INDEX(MO_SPT_StockLow,1,COLUMN()),INDEX(MO_SPT_StockAverage,1,COLUMN()),INDEX(MO_SPT_StockEoP,1,COLUMN()))/IF(SP.ValuationToggle="EoP",IF(INDEX(MO_SPT_FXEoP,1,COLUMN())=0,1,INDEX(MO_SPT_FXEoP,1,COLUMN())),IF(INDEX(MO_SPT_FXAverage,1,COLUMN())=0,1,INDEX(MO_SPT_FXAverage,1,COLUMN()))))</f>
        <v>51.89</v>
      </c>
      <c r="AJ4" s="304">
        <f t="shared" si="9"/>
        <v>52.74</v>
      </c>
      <c r="AK4" s="1078">
        <f t="shared" si="9"/>
        <v>52.74</v>
      </c>
      <c r="AL4" s="304">
        <f t="shared" si="9"/>
        <v>36.26</v>
      </c>
      <c r="AM4" s="304">
        <f t="shared" si="9"/>
        <v>35.43</v>
      </c>
      <c r="AN4" s="304">
        <f t="shared" si="9"/>
        <v>36.020000000000003</v>
      </c>
      <c r="AO4" s="304">
        <f t="shared" si="9"/>
        <v>44.01</v>
      </c>
      <c r="AP4" s="1079">
        <f t="shared" si="9"/>
        <v>44.01</v>
      </c>
      <c r="AQ4" s="304">
        <f t="shared" si="9"/>
        <v>51.83</v>
      </c>
      <c r="AR4" s="304">
        <f t="shared" si="9"/>
        <v>53.55</v>
      </c>
      <c r="AS4" s="304">
        <f t="shared" si="9"/>
        <v>52.74</v>
      </c>
      <c r="AT4" s="304">
        <f t="shared" si="9"/>
        <v>58.56</v>
      </c>
      <c r="AU4" s="1079">
        <f t="shared" si="9"/>
        <v>58.56</v>
      </c>
      <c r="AV4" s="304">
        <f t="shared" si="9"/>
        <v>65.50</v>
      </c>
      <c r="AW4" s="304">
        <f t="shared" si="9"/>
        <v>55.46</v>
      </c>
      <c r="AX4" s="304">
        <f t="shared" si="9"/>
        <v>56.58</v>
      </c>
      <c r="AY4" s="304">
        <f t="shared" si="9"/>
        <v>71.94</v>
      </c>
      <c r="AZ4" s="1079">
        <f t="shared" si="9"/>
        <v>71.94</v>
      </c>
      <c r="BA4" s="304">
        <f t="shared" si="9"/>
        <v>64.290000000000006</v>
      </c>
      <c r="BB4" s="304">
        <f t="shared" si="9"/>
        <v>69.120000000000005</v>
      </c>
      <c r="BC4" s="304">
        <f t="shared" si="9"/>
        <v>76.75</v>
      </c>
      <c r="BD4" s="304">
        <f t="shared" si="9"/>
        <v>82.50</v>
      </c>
      <c r="BE4" s="1079">
        <f t="shared" si="9"/>
        <v>82.50</v>
      </c>
      <c r="BF4" s="304">
        <f t="shared" si="9"/>
        <v>85.86</v>
      </c>
      <c r="BG4" s="304">
        <f t="shared" si="9"/>
        <v>89.31</v>
      </c>
      <c r="BH4" s="773">
        <f>IF(INDEX(MO_SNA_IsHistoricalPeriod,1,COLUMN())=FALSE,MO.LastPrice/HP.MRFX,CHOOSE(VLOOKUP(SP.ValuationToggle,tb_ValuationToggle,COLUMNS(tb_ValuationToggle),FALSE),INDEX(MO_SPT_StockHigh,1,COLUMN()),INDEX(MO_SPT_StockLow,1,COLUMN()),INDEX(MO_SPT_StockAverage,1,COLUMN()),INDEX(MO_SPT_StockEoP,1,COLUMN()))/IF(SP.ValuationToggle="EoP",IF(INDEX(MO_SPT_FXEoP,1,COLUMN())=0,1,INDEX(MO_SPT_FXEoP,1,COLUMN())),IF(INDEX(MO_SPT_FXAverage,1,COLUMN())=0,1,INDEX(MO_SPT_FXAverage,1,COLUMN()))))</f>
        <v>110.59</v>
      </c>
      <c r="BI4" s="304">
        <f t="shared" ca="1" si="9"/>
        <v>104.51000000000001</v>
      </c>
      <c r="BJ4" s="1079">
        <f t="shared" ca="1" si="9"/>
        <v>104.51000000000001</v>
      </c>
      <c r="BK4" s="304">
        <f ca="1" t="shared" si="10" ref="BK4:BR4">IF(INDEX(MO_SNA_IsHistoricalPeriod,1,COLUMN())=FALSE,MO.LastPrice/HP.MRFX,CHOOSE(VLOOKUP(SP.ValuationToggle,tb_ValuationToggle,COLUMNS(tb_ValuationToggle),FALSE),INDEX(MO_SPT_StockHigh,1,COLUMN()),INDEX(MO_SPT_StockLow,1,COLUMN()),INDEX(MO_SPT_StockAverage,1,COLUMN()),INDEX(MO_SPT_StockEoP,1,COLUMN()))/IF(SP.ValuationToggle="EoP",IF(INDEX(MO_SPT_FXEoP,1,COLUMN())=0,1,INDEX(MO_SPT_FXEoP,1,COLUMN())),IF(INDEX(MO_SPT_FXAverage,1,COLUMN())=0,1,INDEX(MO_SPT_FXAverage,1,COLUMN()))))</f>
        <v>104.51000000000001</v>
      </c>
      <c r="BL4" s="304">
        <f t="shared" ca="1" si="10"/>
        <v>104.51000000000001</v>
      </c>
      <c r="BM4" s="304">
        <f t="shared" ca="1" si="10"/>
        <v>104.51000000000001</v>
      </c>
      <c r="BN4" s="304">
        <f t="shared" ca="1" si="10"/>
        <v>104.51000000000001</v>
      </c>
      <c r="BO4" s="1079">
        <f t="shared" ca="1" si="10"/>
        <v>104.51000000000001</v>
      </c>
      <c r="BP4" s="1079">
        <f t="shared" ca="1" si="10"/>
        <v>104.51000000000001</v>
      </c>
      <c r="BQ4" s="1079">
        <f t="shared" ca="1" si="10"/>
        <v>104.51000000000001</v>
      </c>
      <c r="BR4" s="1079">
        <f t="shared" ca="1" si="10"/>
        <v>104.51000000000001</v>
      </c>
      <c r="BS4" s="271"/>
    </row>
    <row r="5" spans="1:71" s="50" customFormat="1" ht="15">
      <c r="A5" s="659" t="str">
        <f>INDEX(MO_SCA_ShareCount_EoP_Diluted,0,COLUMN())</f>
        <v>EoP Total Diluted Common Stock Outstanding, mm shares</v>
      </c>
      <c r="B5" s="664"/>
      <c r="C5" s="1080">
        <f t="shared" si="11" ref="C5:AH5">INDEX(MO_SCA_ShareCount_EoP_Diluted,0,COLUMN())</f>
        <v>942.1579999999999</v>
      </c>
      <c r="D5" s="1080">
        <f t="shared" si="11"/>
        <v>947.41599999999994</v>
      </c>
      <c r="E5" s="1080">
        <f t="shared" si="11"/>
        <v>938.322</v>
      </c>
      <c r="F5" s="1080">
        <f t="shared" si="11"/>
        <v>940.41</v>
      </c>
      <c r="G5" s="1080">
        <f t="shared" si="11"/>
        <v>924.63800000000003</v>
      </c>
      <c r="H5" s="861">
        <f t="shared" si="11"/>
        <v>913.99200000000008</v>
      </c>
      <c r="I5" s="861">
        <f t="shared" si="11"/>
        <v>911.54199999999992</v>
      </c>
      <c r="J5" s="861">
        <f t="shared" si="11"/>
        <v>906.46800000000007</v>
      </c>
      <c r="K5" s="861">
        <f t="shared" si="11"/>
        <v>890.20999999999992</v>
      </c>
      <c r="L5" s="1080">
        <f t="shared" si="11"/>
        <v>890.20999999999992</v>
      </c>
      <c r="M5" s="861">
        <f t="shared" si="11"/>
        <v>872.78400000000011</v>
      </c>
      <c r="N5" s="861">
        <f t="shared" si="11"/>
        <v>866.404</v>
      </c>
      <c r="O5" s="861">
        <f t="shared" si="11"/>
        <v>859.86799999999994</v>
      </c>
      <c r="P5" s="861">
        <f t="shared" si="11"/>
        <v>853.76</v>
      </c>
      <c r="Q5" s="1080">
        <f t="shared" si="11"/>
        <v>853.76</v>
      </c>
      <c r="R5" s="861">
        <f t="shared" si="11"/>
        <v>834.75</v>
      </c>
      <c r="S5" s="861">
        <f t="shared" si="11"/>
        <v>825.17600000000004</v>
      </c>
      <c r="T5" s="861">
        <f t="shared" si="11"/>
        <v>821.28399999999999</v>
      </c>
      <c r="U5" s="861">
        <f t="shared" si="11"/>
        <v>816.68600000000004</v>
      </c>
      <c r="V5" s="1080">
        <f t="shared" si="11"/>
        <v>816.68600000000004</v>
      </c>
      <c r="W5" s="861">
        <f t="shared" si="11"/>
        <v>801.88200000000006</v>
      </c>
      <c r="X5" s="861">
        <f t="shared" si="11"/>
        <v>797.82800000000009</v>
      </c>
      <c r="Y5" s="861">
        <f t="shared" si="11"/>
        <v>793.55399999999997</v>
      </c>
      <c r="Z5" s="861">
        <f t="shared" si="11"/>
        <v>786.67200000000003</v>
      </c>
      <c r="AA5" s="1080">
        <f t="shared" si="11"/>
        <v>786.67200000000003</v>
      </c>
      <c r="AB5" s="861">
        <f t="shared" si="11"/>
        <v>781.05899999999997</v>
      </c>
      <c r="AC5" s="861">
        <f t="shared" si="11"/>
        <v>774.13000000000011</v>
      </c>
      <c r="AD5" s="861">
        <f t="shared" si="11"/>
        <v>768.13400000000013</v>
      </c>
      <c r="AE5" s="861">
        <f t="shared" si="11"/>
        <v>760.35199999999986</v>
      </c>
      <c r="AF5" s="1080">
        <f t="shared" si="11"/>
        <v>760.35199999999986</v>
      </c>
      <c r="AG5" s="861">
        <f t="shared" si="11"/>
        <v>750.85399999999993</v>
      </c>
      <c r="AH5" s="861">
        <f t="shared" si="11"/>
        <v>744.16100000000006</v>
      </c>
      <c r="AI5" s="861">
        <f t="shared" si="12" ref="AI5:BJ5">INDEX(MO_SCA_ShareCount_EoP_Diluted,0,COLUMN())</f>
        <v>739.02599999999995</v>
      </c>
      <c r="AJ5" s="861">
        <f t="shared" si="12"/>
        <v>730.89800000000002</v>
      </c>
      <c r="AK5" s="1080">
        <f t="shared" si="12"/>
        <v>730.89800000000002</v>
      </c>
      <c r="AL5" s="861">
        <f t="shared" si="12"/>
        <v>721.52799999999991</v>
      </c>
      <c r="AM5" s="861">
        <f t="shared" si="12"/>
        <v>715.78300000000002</v>
      </c>
      <c r="AN5" s="861">
        <f t="shared" si="12"/>
        <v>705.66899999999998</v>
      </c>
      <c r="AO5" s="861">
        <f t="shared" si="12"/>
        <v>695.29700000000003</v>
      </c>
      <c r="AP5" s="1081">
        <f t="shared" si="12"/>
        <v>695.29700000000003</v>
      </c>
      <c r="AQ5" s="861">
        <f t="shared" si="12"/>
        <v>683.70900000000006</v>
      </c>
      <c r="AR5" s="861">
        <f t="shared" si="12"/>
        <v>674.86</v>
      </c>
      <c r="AS5" s="861">
        <f t="shared" si="12"/>
        <v>665.98</v>
      </c>
      <c r="AT5" s="861">
        <f t="shared" si="12"/>
        <v>655.54399999999987</v>
      </c>
      <c r="AU5" s="1081">
        <f t="shared" si="12"/>
        <v>655.54399999999987</v>
      </c>
      <c r="AV5" s="861">
        <f t="shared" si="12"/>
        <v>648.423</v>
      </c>
      <c r="AW5" s="861">
        <f t="shared" si="12"/>
        <v>637.06200000000001</v>
      </c>
      <c r="AX5" s="861">
        <f t="shared" si="12"/>
        <v>626.46400000000006</v>
      </c>
      <c r="AY5" s="861">
        <f t="shared" si="12"/>
        <v>618.405</v>
      </c>
      <c r="AZ5" s="1081">
        <f t="shared" si="12"/>
        <v>618.405</v>
      </c>
      <c r="BA5" s="861">
        <f t="shared" si="12"/>
        <v>608.697</v>
      </c>
      <c r="BB5" s="861">
        <f t="shared" si="12"/>
        <v>598.15600000000006</v>
      </c>
      <c r="BC5" s="861">
        <f t="shared" si="12"/>
        <v>589.24700000000007</v>
      </c>
      <c r="BD5" s="861">
        <f t="shared" si="12"/>
        <v>581.48400000000004</v>
      </c>
      <c r="BE5" s="1081">
        <f t="shared" si="12"/>
        <v>581.48400000000004</v>
      </c>
      <c r="BF5" s="861">
        <f t="shared" si="12"/>
        <v>572.87400000000002</v>
      </c>
      <c r="BG5" s="861">
        <f t="shared" si="12"/>
        <v>563.63400000000001</v>
      </c>
      <c r="BH5" s="863">
        <f>INDEX(MO_SCA_ShareCount_EoP_Diluted,0,COLUMN())</f>
        <v>558.98199999999997</v>
      </c>
      <c r="BI5" s="861">
        <f t="shared" ca="1" si="12"/>
        <v>558.94386799999995</v>
      </c>
      <c r="BJ5" s="1081">
        <f t="shared" ca="1" si="12"/>
        <v>558.94386799999995</v>
      </c>
      <c r="BK5" s="861">
        <f ca="1" t="shared" si="13" ref="BK5:BR5">INDEX(MO_SCA_ShareCount_EoP_Diluted,0,COLUMN())</f>
        <v>558.94386799999995</v>
      </c>
      <c r="BL5" s="861">
        <f t="shared" ca="1" si="13"/>
        <v>558.94386799999995</v>
      </c>
      <c r="BM5" s="861">
        <f t="shared" ca="1" si="13"/>
        <v>558.94386799999995</v>
      </c>
      <c r="BN5" s="861">
        <f t="shared" ca="1" si="13"/>
        <v>558.94386799999995</v>
      </c>
      <c r="BO5" s="1081">
        <f t="shared" ca="1" si="13"/>
        <v>558.94386799999995</v>
      </c>
      <c r="BP5" s="1081">
        <f t="shared" ca="1" si="13"/>
        <v>558.94386799999995</v>
      </c>
      <c r="BQ5" s="1081">
        <f t="shared" ca="1" si="13"/>
        <v>558.94386799999995</v>
      </c>
      <c r="BR5" s="1081">
        <f t="shared" ca="1" si="13"/>
        <v>558.94386799999995</v>
      </c>
      <c r="BS5" s="271"/>
    </row>
    <row r="6" spans="1:71" ht="15">
      <c r="A6" s="196" t="str">
        <f>"Market Cap - "&amp;SP.ValuationToggle</f>
        <v>Market Cap - EoP</v>
      </c>
      <c r="B6" s="197"/>
      <c r="C6" s="1082">
        <f t="shared" si="14" ref="C6:AH6">INDEX(SP_CS_StockPrice,0,COLUMN())*INDEX(SP_CS_ShareCount_EoP_Diluted,0,COLUMN())</f>
        <v>22084.183519999999</v>
      </c>
      <c r="D6" s="1082">
        <f t="shared" si="14"/>
        <v>26570.281719999999</v>
      </c>
      <c r="E6" s="1082">
        <f t="shared" si="14"/>
        <v>20295.904859999999</v>
      </c>
      <c r="F6" s="1082">
        <f t="shared" si="14"/>
        <v>24568.21125</v>
      </c>
      <c r="G6" s="1082">
        <f t="shared" si="14"/>
        <v>30832.054110000001</v>
      </c>
      <c r="H6" s="865">
        <f t="shared" si="14"/>
        <v>28635.369360000001</v>
      </c>
      <c r="I6" s="865">
        <f t="shared" si="14"/>
        <v>28585.957119999995</v>
      </c>
      <c r="J6" s="865">
        <f t="shared" si="14"/>
        <v>26500.591980000001</v>
      </c>
      <c r="K6" s="865">
        <f t="shared" si="14"/>
        <v>27587.607899999995</v>
      </c>
      <c r="L6" s="1082">
        <f t="shared" si="14"/>
        <v>27587.607899999995</v>
      </c>
      <c r="M6" s="865">
        <f t="shared" si="14"/>
        <v>28016.366400000006</v>
      </c>
      <c r="N6" s="865">
        <f t="shared" si="14"/>
        <v>26615.93088</v>
      </c>
      <c r="O6" s="865">
        <f t="shared" si="14"/>
        <v>24815.790479999996</v>
      </c>
      <c r="P6" s="865">
        <f t="shared" si="14"/>
        <v>25834.777600000001</v>
      </c>
      <c r="Q6" s="1082">
        <f t="shared" si="14"/>
        <v>25834.777600000001</v>
      </c>
      <c r="R6" s="865">
        <f t="shared" si="14"/>
        <v>26599.30875</v>
      </c>
      <c r="S6" s="865">
        <f t="shared" si="14"/>
        <v>28914.16704</v>
      </c>
      <c r="T6" s="865">
        <f t="shared" si="14"/>
        <v>29385.541519999999</v>
      </c>
      <c r="U6" s="865">
        <f t="shared" si="14"/>
        <v>28420.6728</v>
      </c>
      <c r="V6" s="1082">
        <f t="shared" si="14"/>
        <v>28420.6728</v>
      </c>
      <c r="W6" s="865">
        <f t="shared" si="14"/>
        <v>28996.05312</v>
      </c>
      <c r="X6" s="865">
        <f t="shared" si="14"/>
        <v>30955.7264</v>
      </c>
      <c r="Y6" s="865">
        <f t="shared" si="14"/>
        <v>32293.68003</v>
      </c>
      <c r="Z6" s="865">
        <f t="shared" si="14"/>
        <v>34527.034080000005</v>
      </c>
      <c r="AA6" s="1082">
        <f t="shared" si="14"/>
        <v>34527.034080000005</v>
      </c>
      <c r="AB6" s="865">
        <f t="shared" si="14"/>
        <v>34179.141839999997</v>
      </c>
      <c r="AC6" s="865">
        <f t="shared" si="14"/>
        <v>33303.072600000007</v>
      </c>
      <c r="AD6" s="865">
        <f t="shared" si="14"/>
        <v>36156.067380000008</v>
      </c>
      <c r="AE6" s="865">
        <f t="shared" si="14"/>
        <v>34177.822399999997</v>
      </c>
      <c r="AF6" s="1082">
        <f t="shared" si="14"/>
        <v>34177.822399999997</v>
      </c>
      <c r="AG6" s="865">
        <f t="shared" si="14"/>
        <v>37542.699999999997</v>
      </c>
      <c r="AH6" s="865">
        <f t="shared" si="14"/>
        <v>40787.464410000008</v>
      </c>
      <c r="AI6" s="865">
        <f t="shared" si="15" ref="AI6:BJ6">INDEX(SP_CS_StockPrice,0,COLUMN())*INDEX(SP_CS_ShareCount_EoP_Diluted,0,COLUMN())</f>
        <v>38348.059139999998</v>
      </c>
      <c r="AJ6" s="865">
        <f t="shared" si="15"/>
        <v>38547.560520000006</v>
      </c>
      <c r="AK6" s="1082">
        <f t="shared" si="15"/>
        <v>38547.560520000006</v>
      </c>
      <c r="AL6" s="865">
        <f t="shared" si="15"/>
        <v>26162.605279999996</v>
      </c>
      <c r="AM6" s="865">
        <f t="shared" si="15"/>
        <v>25360.19169</v>
      </c>
      <c r="AN6" s="865">
        <f t="shared" si="15"/>
        <v>25418.197380000001</v>
      </c>
      <c r="AO6" s="865">
        <f t="shared" si="15"/>
        <v>30600.020970000001</v>
      </c>
      <c r="AP6" s="1082">
        <f t="shared" si="15"/>
        <v>30600.020970000001</v>
      </c>
      <c r="AQ6" s="865">
        <f t="shared" si="15"/>
        <v>35436.637470000001</v>
      </c>
      <c r="AR6" s="865">
        <f t="shared" si="15"/>
        <v>36138.752999999997</v>
      </c>
      <c r="AS6" s="865">
        <f t="shared" si="15"/>
        <v>35123.785200000006</v>
      </c>
      <c r="AT6" s="865">
        <f t="shared" si="15"/>
        <v>38388.656639999994</v>
      </c>
      <c r="AU6" s="1082">
        <f t="shared" si="15"/>
        <v>38388.656639999994</v>
      </c>
      <c r="AV6" s="865">
        <f t="shared" si="15"/>
        <v>42471.7065</v>
      </c>
      <c r="AW6" s="865">
        <f t="shared" si="15"/>
        <v>35331.45852</v>
      </c>
      <c r="AX6" s="865">
        <f t="shared" si="15"/>
        <v>35445.333120000003</v>
      </c>
      <c r="AY6" s="865">
        <f t="shared" si="15"/>
        <v>44488.055699999997</v>
      </c>
      <c r="AZ6" s="1082">
        <f t="shared" si="15"/>
        <v>44488.055699999997</v>
      </c>
      <c r="BA6" s="865">
        <f t="shared" si="15"/>
        <v>39133.130130000005</v>
      </c>
      <c r="BB6" s="865">
        <f t="shared" si="15"/>
        <v>41344.542720000005</v>
      </c>
      <c r="BC6" s="865">
        <f t="shared" si="15"/>
        <v>45224.707250000007</v>
      </c>
      <c r="BD6" s="865">
        <f t="shared" si="15"/>
        <v>47972.43</v>
      </c>
      <c r="BE6" s="1082">
        <f t="shared" si="15"/>
        <v>47972.43</v>
      </c>
      <c r="BF6" s="865">
        <f t="shared" si="15"/>
        <v>49186.961640000001</v>
      </c>
      <c r="BG6" s="865">
        <f t="shared" si="15"/>
        <v>50338.152540000003</v>
      </c>
      <c r="BH6" s="866">
        <f>INDEX(SP_CS_StockPrice,0,COLUMN())*INDEX(SP_CS_ShareCount_EoP_Diluted,0,COLUMN())</f>
        <v>61817.819380000001</v>
      </c>
      <c r="BI6" s="865">
        <f t="shared" ca="1" si="15"/>
        <v>58415.223644679994</v>
      </c>
      <c r="BJ6" s="1082">
        <f t="shared" ca="1" si="15"/>
        <v>58415.223644679994</v>
      </c>
      <c r="BK6" s="865">
        <f ca="1" t="shared" si="16" ref="BK6:BR6">INDEX(SP_CS_StockPrice,0,COLUMN())*INDEX(SP_CS_ShareCount_EoP_Diluted,0,COLUMN())</f>
        <v>58415.223644679994</v>
      </c>
      <c r="BL6" s="865">
        <f t="shared" ca="1" si="16"/>
        <v>58415.223644679994</v>
      </c>
      <c r="BM6" s="865">
        <f t="shared" ca="1" si="16"/>
        <v>58415.223644679994</v>
      </c>
      <c r="BN6" s="865">
        <f t="shared" ca="1" si="16"/>
        <v>58415.223644679994</v>
      </c>
      <c r="BO6" s="1082">
        <f t="shared" ca="1" si="16"/>
        <v>58415.223644679994</v>
      </c>
      <c r="BP6" s="1082">
        <f t="shared" ca="1" si="16"/>
        <v>58415.223644679994</v>
      </c>
      <c r="BQ6" s="1082">
        <f t="shared" ca="1" si="16"/>
        <v>58415.223644679994</v>
      </c>
      <c r="BR6" s="1082">
        <f t="shared" ca="1" si="16"/>
        <v>58415.223644679994</v>
      </c>
      <c r="BS6" s="821"/>
    </row>
    <row r="7" spans="1:71" ht="15">
      <c r="A7" s="198"/>
      <c r="B7" s="199"/>
      <c r="C7" s="1011"/>
      <c r="D7" s="1011"/>
      <c r="E7" s="1011"/>
      <c r="F7" s="1011"/>
      <c r="G7" s="1011"/>
      <c r="H7" s="448"/>
      <c r="I7" s="448"/>
      <c r="J7" s="448"/>
      <c r="K7" s="448"/>
      <c r="L7" s="1011"/>
      <c r="M7" s="448"/>
      <c r="N7" s="448"/>
      <c r="O7" s="448"/>
      <c r="P7" s="448"/>
      <c r="Q7" s="1011"/>
      <c r="R7" s="448"/>
      <c r="S7" s="448"/>
      <c r="T7" s="448"/>
      <c r="U7" s="448"/>
      <c r="V7" s="1011"/>
      <c r="W7" s="448"/>
      <c r="X7" s="448"/>
      <c r="Y7" s="448"/>
      <c r="Z7" s="448"/>
      <c r="AA7" s="1011"/>
      <c r="AB7" s="448"/>
      <c r="AC7" s="448"/>
      <c r="AD7" s="448"/>
      <c r="AE7" s="448"/>
      <c r="AF7" s="1011"/>
      <c r="AG7" s="448"/>
      <c r="AH7" s="448"/>
      <c r="AI7" s="448"/>
      <c r="AJ7" s="448"/>
      <c r="AK7" s="1011"/>
      <c r="AL7" s="448"/>
      <c r="AM7" s="448"/>
      <c r="AN7" s="448"/>
      <c r="AO7" s="448"/>
      <c r="AP7" s="1011"/>
      <c r="AQ7" s="448"/>
      <c r="AR7" s="448"/>
      <c r="AS7" s="448"/>
      <c r="AT7" s="448"/>
      <c r="AU7" s="1011"/>
      <c r="AV7" s="448"/>
      <c r="AW7" s="448"/>
      <c r="AX7" s="448"/>
      <c r="AY7" s="448"/>
      <c r="AZ7" s="1011"/>
      <c r="BA7" s="448"/>
      <c r="BB7" s="448"/>
      <c r="BC7" s="448"/>
      <c r="BD7" s="448"/>
      <c r="BE7" s="1011"/>
      <c r="BF7" s="448"/>
      <c r="BG7" s="448"/>
      <c r="BH7" s="757"/>
      <c r="BI7" s="448"/>
      <c r="BJ7" s="1011"/>
      <c r="BK7" s="448"/>
      <c r="BL7" s="448"/>
      <c r="BM7" s="448"/>
      <c r="BN7" s="448"/>
      <c r="BO7" s="1011"/>
      <c r="BP7" s="1011"/>
      <c r="BQ7" s="1011"/>
      <c r="BR7" s="1011"/>
      <c r="BS7" s="448"/>
    </row>
    <row r="8" spans="1:71" ht="15">
      <c r="A8" s="131" t="s">
        <v>251</v>
      </c>
      <c r="B8" s="819"/>
      <c r="C8" s="867"/>
      <c r="D8" s="867"/>
      <c r="E8" s="867"/>
      <c r="F8" s="867"/>
      <c r="G8" s="867"/>
      <c r="H8" s="867"/>
      <c r="I8" s="867"/>
      <c r="J8" s="867"/>
      <c r="K8" s="867"/>
      <c r="L8" s="867"/>
      <c r="M8" s="867"/>
      <c r="N8" s="867"/>
      <c r="O8" s="867"/>
      <c r="P8" s="867"/>
      <c r="Q8" s="867"/>
      <c r="R8" s="867"/>
      <c r="S8" s="867"/>
      <c r="T8" s="867"/>
      <c r="U8" s="867"/>
      <c r="V8" s="867"/>
      <c r="W8" s="867"/>
      <c r="X8" s="867"/>
      <c r="Y8" s="867"/>
      <c r="Z8" s="867"/>
      <c r="AA8" s="867"/>
      <c r="AB8" s="867"/>
      <c r="AC8" s="867"/>
      <c r="AD8" s="867"/>
      <c r="AE8" s="867"/>
      <c r="AF8" s="867"/>
      <c r="AG8" s="867"/>
      <c r="AH8" s="867"/>
      <c r="AI8" s="867"/>
      <c r="AJ8" s="867"/>
      <c r="AK8" s="867"/>
      <c r="AL8" s="867"/>
      <c r="AM8" s="867"/>
      <c r="AN8" s="867"/>
      <c r="AO8" s="867"/>
      <c r="AP8" s="867"/>
      <c r="AQ8" s="867"/>
      <c r="AR8" s="867"/>
      <c r="AS8" s="867"/>
      <c r="AT8" s="867"/>
      <c r="AU8" s="867"/>
      <c r="AV8" s="867"/>
      <c r="AW8" s="867"/>
      <c r="AX8" s="867"/>
      <c r="AY8" s="867"/>
      <c r="AZ8" s="867"/>
      <c r="BA8" s="867"/>
      <c r="BB8" s="867"/>
      <c r="BC8" s="867"/>
      <c r="BD8" s="867"/>
      <c r="BE8" s="867"/>
      <c r="BF8" s="867"/>
      <c r="BG8" s="867"/>
      <c r="BH8" s="868"/>
      <c r="BI8" s="867"/>
      <c r="BJ8" s="867"/>
      <c r="BK8" s="867"/>
      <c r="BL8" s="867"/>
      <c r="BM8" s="867"/>
      <c r="BN8" s="867"/>
      <c r="BO8" s="867"/>
      <c r="BP8" s="867"/>
      <c r="BQ8" s="867"/>
      <c r="BR8" s="867"/>
      <c r="BS8" s="821"/>
    </row>
    <row r="9" spans="1:71" s="430" customFormat="1" ht="15">
      <c r="A9" s="362" t="s">
        <v>368</v>
      </c>
      <c r="B9" s="202"/>
      <c r="C9" s="1003">
        <f>Model!C14</f>
        <v>12178</v>
      </c>
      <c r="D9" s="1003">
        <f>Model!D14</f>
        <v>13487</v>
      </c>
      <c r="E9" s="1003">
        <f>Model!E14</f>
        <v>15619</v>
      </c>
      <c r="F9" s="1003">
        <f>Model!F14</f>
        <v>17151</v>
      </c>
      <c r="G9" s="1003">
        <f>Model!G14</f>
        <v>14982</v>
      </c>
      <c r="H9" s="139">
        <f>Model!H14</f>
        <v>3560</v>
      </c>
      <c r="I9" s="139">
        <f>Model!I14</f>
        <v>3578</v>
      </c>
      <c r="J9" s="139">
        <f>Model!J14</f>
        <v>3534</v>
      </c>
      <c r="K9" s="139">
        <f>Model!K14</f>
        <v>3189</v>
      </c>
      <c r="L9" s="1003">
        <f>Model!L14</f>
        <v>13861</v>
      </c>
      <c r="M9" s="139">
        <f>Model!M14</f>
        <v>3078</v>
      </c>
      <c r="N9" s="139">
        <f>Model!N14</f>
        <v>2978</v>
      </c>
      <c r="O9" s="139">
        <f>Model!O14</f>
        <v>2981</v>
      </c>
      <c r="P9" s="139">
        <f>Model!P14</f>
        <v>3009</v>
      </c>
      <c r="Q9" s="1003">
        <f>Model!Q14</f>
        <v>12046</v>
      </c>
      <c r="R9" s="139">
        <f>Model!R14</f>
        <v>3179</v>
      </c>
      <c r="S9" s="139">
        <f>Model!S14</f>
        <v>3402</v>
      </c>
      <c r="T9" s="139">
        <f>Model!T14</f>
        <v>3596</v>
      </c>
      <c r="U9" s="139">
        <f>Model!U14</f>
        <v>3360</v>
      </c>
      <c r="V9" s="1003">
        <f>Model!V14</f>
        <v>13537</v>
      </c>
      <c r="W9" s="139">
        <f>Model!W14</f>
        <v>3194</v>
      </c>
      <c r="X9" s="139">
        <f>Model!X14</f>
        <v>3222</v>
      </c>
      <c r="Y9" s="139">
        <f>Model!Y14</f>
        <v>3200</v>
      </c>
      <c r="Z9" s="139">
        <f>Model!Z14</f>
        <v>3136</v>
      </c>
      <c r="AA9" s="1003">
        <f>Model!AA14</f>
        <v>12752</v>
      </c>
      <c r="AB9" s="139">
        <f>Model!AB14</f>
        <v>3263</v>
      </c>
      <c r="AC9" s="139">
        <f>Model!AC14</f>
        <v>3227</v>
      </c>
      <c r="AD9" s="139">
        <f>Model!AD14</f>
        <v>3159</v>
      </c>
      <c r="AE9" s="139">
        <f>Model!AE14</f>
        <v>3113</v>
      </c>
      <c r="AF9" s="1003">
        <f>Model!AF14</f>
        <v>12762</v>
      </c>
      <c r="AG9" s="139">
        <f>Model!AG14</f>
        <v>3180</v>
      </c>
      <c r="AH9" s="139">
        <f>Model!AH14</f>
        <v>3172</v>
      </c>
      <c r="AI9" s="139">
        <f>Model!AI14</f>
        <v>3241</v>
      </c>
      <c r="AJ9" s="139">
        <f>Model!AJ14</f>
        <v>3179</v>
      </c>
      <c r="AK9" s="1003">
        <f>Model!AK14</f>
        <v>12772</v>
      </c>
      <c r="AL9" s="139">
        <f>Model!AL14</f>
        <v>3150</v>
      </c>
      <c r="AM9" s="139">
        <f>Model!AM14</f>
        <v>3158</v>
      </c>
      <c r="AN9" s="139">
        <f>Model!AN14</f>
        <v>3168</v>
      </c>
      <c r="AO9" s="139">
        <f>Model!AO14</f>
        <v>3194</v>
      </c>
      <c r="AP9" s="1003">
        <f>Model!AP14</f>
        <v>12670</v>
      </c>
      <c r="AQ9" s="139">
        <f>Model!AQ14</f>
        <v>3123</v>
      </c>
      <c r="AR9" s="139">
        <f>Model!AR14</f>
        <v>2987</v>
      </c>
      <c r="AS9" s="139">
        <f>Model!AS14</f>
        <v>2934</v>
      </c>
      <c r="AT9" s="139">
        <f>Model!AT14</f>
        <v>2808</v>
      </c>
      <c r="AU9" s="1003">
        <f>Model!AU14</f>
        <v>11853</v>
      </c>
      <c r="AV9" s="139">
        <f>Model!AV14</f>
        <v>2625</v>
      </c>
      <c r="AW9" s="139">
        <f>Model!AW14</f>
        <v>2334</v>
      </c>
      <c r="AX9" s="139">
        <f>Model!AX14</f>
        <v>2125</v>
      </c>
      <c r="AY9" s="139">
        <f>Model!AY14</f>
        <v>2102</v>
      </c>
      <c r="AZ9" s="1003">
        <f>Model!AZ14</f>
        <v>9186</v>
      </c>
      <c r="BA9" s="139">
        <f>Model!BA14</f>
        <v>2170</v>
      </c>
      <c r="BB9" s="139">
        <f>Model!BB14</f>
        <v>2064</v>
      </c>
      <c r="BC9" s="139">
        <f>Model!BC14</f>
        <v>1973</v>
      </c>
      <c r="BD9" s="139">
        <f>Model!BD14</f>
        <v>1840</v>
      </c>
      <c r="BE9" s="1003">
        <f>Model!BE14</f>
        <v>8047</v>
      </c>
      <c r="BF9" s="139">
        <f>Model!BF14</f>
        <v>1816</v>
      </c>
      <c r="BG9" s="139">
        <f>Model!BG14</f>
        <v>1715</v>
      </c>
      <c r="BH9" s="750">
        <f>Model!BH14</f>
        <v>1709</v>
      </c>
      <c r="BI9" s="139">
        <f>Model!BI14</f>
        <v>2208</v>
      </c>
      <c r="BJ9" s="1003">
        <f>Model!BJ14</f>
        <v>7448</v>
      </c>
      <c r="BK9" s="139">
        <f>Model!BK14</f>
        <v>1725.1999999999998</v>
      </c>
      <c r="BL9" s="139">
        <f>Model!BL14</f>
        <v>1732.15</v>
      </c>
      <c r="BM9" s="139">
        <f>Model!BM14</f>
        <v>1965.35</v>
      </c>
      <c r="BN9" s="139">
        <f>Model!BN14</f>
        <v>2450.88</v>
      </c>
      <c r="BO9" s="1003">
        <f>Model!BO14</f>
        <v>7873.58</v>
      </c>
      <c r="BP9" s="1003">
        <f>Model!BP14</f>
        <v>7952.3158000000003</v>
      </c>
      <c r="BQ9" s="1003">
        <f>Model!BQ14</f>
        <v>8031.8389580000003</v>
      </c>
      <c r="BR9" s="1003">
        <f>Model!BR14</f>
        <v>8112.1573475800005</v>
      </c>
      <c r="BS9" s="139"/>
    </row>
    <row r="10" spans="1:71" s="430" customFormat="1" ht="15">
      <c r="A10" s="362" t="s">
        <v>369</v>
      </c>
      <c r="B10" s="202"/>
      <c r="C10" s="1003">
        <f>Model!C15</f>
        <v>4444</v>
      </c>
      <c r="D10" s="1003">
        <f>Model!D15</f>
        <v>4586</v>
      </c>
      <c r="E10" s="1003">
        <f>Model!E15</f>
        <v>4743</v>
      </c>
      <c r="F10" s="1003">
        <f>Model!F15</f>
        <v>4996</v>
      </c>
      <c r="G10" s="1003">
        <f>Model!G15</f>
        <v>5153</v>
      </c>
      <c r="H10" s="139">
        <f>Model!H15</f>
        <v>1294</v>
      </c>
      <c r="I10" s="139">
        <f>Model!I15</f>
        <v>1311</v>
      </c>
      <c r="J10" s="139">
        <f>Model!J15</f>
        <v>1306</v>
      </c>
      <c r="K10" s="139">
        <f>Model!K15</f>
        <v>1300</v>
      </c>
      <c r="L10" s="1003">
        <f>Model!L15</f>
        <v>5211</v>
      </c>
      <c r="M10" s="139">
        <f>Model!M15</f>
        <v>1339</v>
      </c>
      <c r="N10" s="139">
        <f>Model!N15</f>
        <v>1331</v>
      </c>
      <c r="O10" s="139">
        <f>Model!O15</f>
        <v>1346</v>
      </c>
      <c r="P10" s="139">
        <f>Model!P15</f>
        <v>1331</v>
      </c>
      <c r="Q10" s="1003">
        <f>Model!Q15</f>
        <v>5347</v>
      </c>
      <c r="R10" s="139">
        <f>Model!R15</f>
        <v>1367</v>
      </c>
      <c r="S10" s="139">
        <f>Model!S15</f>
        <v>1362</v>
      </c>
      <c r="T10" s="139">
        <f>Model!T15</f>
        <v>1365</v>
      </c>
      <c r="U10" s="139">
        <f>Model!U15</f>
        <v>1360</v>
      </c>
      <c r="V10" s="1003">
        <f>Model!V15</f>
        <v>5454</v>
      </c>
      <c r="W10" s="139">
        <f>Model!W15</f>
        <v>1390</v>
      </c>
      <c r="X10" s="139">
        <f>Model!X15</f>
        <v>1388</v>
      </c>
      <c r="Y10" s="139">
        <f>Model!Y15</f>
        <v>1393</v>
      </c>
      <c r="Z10" s="139">
        <f>Model!Z15</f>
        <v>1392</v>
      </c>
      <c r="AA10" s="1003">
        <f>Model!AA15</f>
        <v>5563</v>
      </c>
      <c r="AB10" s="139">
        <f>Model!AB15</f>
        <v>1427</v>
      </c>
      <c r="AC10" s="139">
        <f>Model!AC15</f>
        <v>1426</v>
      </c>
      <c r="AD10" s="139">
        <f>Model!AD15</f>
        <v>1426</v>
      </c>
      <c r="AE10" s="139">
        <f>Model!AE15</f>
        <v>1429</v>
      </c>
      <c r="AF10" s="1003">
        <f>Model!AF15</f>
        <v>5708</v>
      </c>
      <c r="AG10" s="139">
        <f>Model!AG15</f>
        <v>1461</v>
      </c>
      <c r="AH10" s="139">
        <f>Model!AH15</f>
        <v>1459</v>
      </c>
      <c r="AI10" s="139">
        <f>Model!AI15</f>
        <v>1445</v>
      </c>
      <c r="AJ10" s="139">
        <f>Model!AJ15</f>
        <v>1443</v>
      </c>
      <c r="AK10" s="1003">
        <f>Model!AK15</f>
        <v>5808</v>
      </c>
      <c r="AL10" s="139">
        <f>Model!AL15</f>
        <v>1483</v>
      </c>
      <c r="AM10" s="139">
        <f>Model!AM15</f>
        <v>1458</v>
      </c>
      <c r="AN10" s="139">
        <f>Model!AN15</f>
        <v>1407</v>
      </c>
      <c r="AO10" s="139">
        <f>Model!AO15</f>
        <v>1410</v>
      </c>
      <c r="AP10" s="1003">
        <f>Model!AP15</f>
        <v>5758</v>
      </c>
      <c r="AQ10" s="139">
        <f>Model!AQ15</f>
        <v>1422</v>
      </c>
      <c r="AR10" s="139">
        <f>Model!AR15</f>
        <v>1408</v>
      </c>
      <c r="AS10" s="139">
        <f>Model!AS15</f>
        <v>1393</v>
      </c>
      <c r="AT10" s="139">
        <f>Model!AT15</f>
        <v>1391</v>
      </c>
      <c r="AU10" s="1003">
        <f>Model!AU15</f>
        <v>5614</v>
      </c>
      <c r="AV10" s="139">
        <f>Model!AV15</f>
        <v>1413</v>
      </c>
      <c r="AW10" s="139">
        <f>Model!AW15</f>
        <v>1394</v>
      </c>
      <c r="AX10" s="139">
        <f>Model!AX15</f>
        <v>1375</v>
      </c>
      <c r="AY10" s="139">
        <f>Model!AY15</f>
        <v>1388</v>
      </c>
      <c r="AZ10" s="1003">
        <f>Model!AZ15</f>
        <v>5570</v>
      </c>
      <c r="BA10" s="139">
        <f>Model!BA15</f>
        <v>1428</v>
      </c>
      <c r="BB10" s="139">
        <f>Model!BB15</f>
        <v>1425</v>
      </c>
      <c r="BC10" s="139">
        <f>Model!BC15</f>
        <v>1419</v>
      </c>
      <c r="BD10" s="139">
        <f>Model!BD15</f>
        <v>1403</v>
      </c>
      <c r="BE10" s="1003">
        <f>Model!BE15</f>
        <v>5675</v>
      </c>
      <c r="BF10" s="139">
        <f>Model!BF15</f>
        <v>1475</v>
      </c>
      <c r="BG10" s="139">
        <f>Model!BG15</f>
        <v>1455</v>
      </c>
      <c r="BH10" s="750">
        <f>Model!BH15</f>
        <v>1459</v>
      </c>
      <c r="BI10" s="139">
        <f>Model!BI15</f>
        <v>1459.12</v>
      </c>
      <c r="BJ10" s="1003">
        <f>Model!BJ15</f>
        <v>5848.12</v>
      </c>
      <c r="BK10" s="139">
        <f>Model!BK15</f>
        <v>1482.3749999999998</v>
      </c>
      <c r="BL10" s="139">
        <f>Model!BL15</f>
        <v>1462.275</v>
      </c>
      <c r="BM10" s="139">
        <f>Model!BM15</f>
        <v>1466.2949999999998</v>
      </c>
      <c r="BN10" s="139">
        <f>Model!BN15</f>
        <v>1466.4156</v>
      </c>
      <c r="BO10" s="1003">
        <f>Model!BO15</f>
        <v>5877.3606</v>
      </c>
      <c r="BP10" s="1003">
        <f>Model!BP15</f>
        <v>5906.7474029999994</v>
      </c>
      <c r="BQ10" s="1003">
        <f>Model!BQ15</f>
        <v>5936.2811400149985</v>
      </c>
      <c r="BR10" s="1003">
        <f>Model!BR15</f>
        <v>5965.9625457150732</v>
      </c>
      <c r="BS10" s="139"/>
    </row>
    <row r="11" spans="1:71" s="430" customFormat="1" ht="15">
      <c r="A11" s="364" t="s">
        <v>370</v>
      </c>
      <c r="B11" s="345"/>
      <c r="C11" s="1005">
        <f>Model!C16</f>
        <v>0</v>
      </c>
      <c r="D11" s="1005">
        <f>Model!D16</f>
        <v>0</v>
      </c>
      <c r="E11" s="1005">
        <f>Model!E16</f>
        <v>0</v>
      </c>
      <c r="F11" s="1005">
        <f>Model!F16</f>
        <v>0</v>
      </c>
      <c r="G11" s="1005">
        <f>Model!G16</f>
        <v>0</v>
      </c>
      <c r="H11" s="347">
        <f>Model!H16</f>
        <v>0</v>
      </c>
      <c r="I11" s="347">
        <f>Model!I16</f>
        <v>0</v>
      </c>
      <c r="J11" s="347">
        <f>Model!J16</f>
        <v>0</v>
      </c>
      <c r="K11" s="347">
        <f>Model!K16</f>
        <v>0</v>
      </c>
      <c r="L11" s="1005">
        <f>Model!L16</f>
        <v>0</v>
      </c>
      <c r="M11" s="347">
        <f>Model!M16</f>
        <v>0</v>
      </c>
      <c r="N11" s="347">
        <f>Model!N16</f>
        <v>0</v>
      </c>
      <c r="O11" s="347">
        <f>Model!O16</f>
        <v>0</v>
      </c>
      <c r="P11" s="347">
        <f>Model!P16</f>
        <v>0</v>
      </c>
      <c r="Q11" s="1005">
        <f>Model!Q16</f>
        <v>178</v>
      </c>
      <c r="R11" s="347">
        <f>Model!R16</f>
        <v>0</v>
      </c>
      <c r="S11" s="347">
        <f>Model!S16</f>
        <v>0</v>
      </c>
      <c r="T11" s="347">
        <f>Model!T16</f>
        <v>0</v>
      </c>
      <c r="U11" s="347">
        <f>Model!U16</f>
        <v>0</v>
      </c>
      <c r="V11" s="1005">
        <f>Model!V16</f>
        <v>234</v>
      </c>
      <c r="W11" s="347">
        <f>Model!W16</f>
        <v>54</v>
      </c>
      <c r="X11" s="347">
        <f>Model!X16</f>
        <v>55</v>
      </c>
      <c r="Y11" s="347">
        <f>Model!Y16</f>
        <v>54</v>
      </c>
      <c r="Z11" s="347">
        <f>Model!Z16</f>
        <v>53</v>
      </c>
      <c r="AA11" s="1005">
        <f>Model!AA16</f>
        <v>216</v>
      </c>
      <c r="AB11" s="347">
        <f>Model!AB16</f>
        <v>54</v>
      </c>
      <c r="AC11" s="347">
        <f>Model!AC16</f>
        <v>53</v>
      </c>
      <c r="AD11" s="347">
        <f>Model!AD16</f>
        <v>51</v>
      </c>
      <c r="AE11" s="347">
        <f>Model!AE16</f>
        <v>50</v>
      </c>
      <c r="AF11" s="1005">
        <f>Model!AF16</f>
        <v>208</v>
      </c>
      <c r="AG11" s="347">
        <f>Model!AG16</f>
        <v>50</v>
      </c>
      <c r="AH11" s="347">
        <f>Model!AH16</f>
        <v>50</v>
      </c>
      <c r="AI11" s="347">
        <f>Model!AI16</f>
        <v>51</v>
      </c>
      <c r="AJ11" s="347">
        <f>Model!AJ16</f>
        <v>49</v>
      </c>
      <c r="AK11" s="1005">
        <f>Model!AK16</f>
        <v>200</v>
      </c>
      <c r="AL11" s="347">
        <f>Model!AL16</f>
        <v>49</v>
      </c>
      <c r="AM11" s="347">
        <f>Model!AM16</f>
        <v>49</v>
      </c>
      <c r="AN11" s="347">
        <f>Model!AN16</f>
        <v>49</v>
      </c>
      <c r="AO11" s="347">
        <f>Model!AO16</f>
        <v>47</v>
      </c>
      <c r="AP11" s="1005">
        <f>Model!AP16</f>
        <v>194</v>
      </c>
      <c r="AQ11" s="347">
        <f>Model!AQ16</f>
        <v>48</v>
      </c>
      <c r="AR11" s="347">
        <f>Model!AR16</f>
        <v>45</v>
      </c>
      <c r="AS11" s="347">
        <f>Model!AS16</f>
        <v>45</v>
      </c>
      <c r="AT11" s="347">
        <f>Model!AT16</f>
        <v>42</v>
      </c>
      <c r="AU11" s="1005">
        <f>Model!AU16</f>
        <v>180</v>
      </c>
      <c r="AV11" s="347">
        <f>Model!AV16</f>
        <v>41</v>
      </c>
      <c r="AW11" s="347">
        <f>Model!AW16</f>
        <v>36</v>
      </c>
      <c r="AX11" s="347">
        <f>Model!AX16</f>
        <v>35</v>
      </c>
      <c r="AY11" s="347">
        <f>Model!AY16</f>
        <v>33</v>
      </c>
      <c r="AZ11" s="1005">
        <f>Model!AZ16</f>
        <v>145</v>
      </c>
      <c r="BA11" s="347">
        <f>Model!BA16</f>
        <v>91</v>
      </c>
      <c r="BB11" s="347">
        <f>Model!BB16</f>
        <v>84</v>
      </c>
      <c r="BC11" s="347">
        <f>Model!BC16</f>
        <v>83</v>
      </c>
      <c r="BD11" s="347">
        <f>Model!BD16</f>
        <v>142</v>
      </c>
      <c r="BE11" s="1005">
        <f>Model!BE16</f>
        <v>400</v>
      </c>
      <c r="BF11" s="347">
        <f>Model!BF16</f>
        <v>165</v>
      </c>
      <c r="BG11" s="347">
        <f>Model!BG16</f>
        <v>155</v>
      </c>
      <c r="BH11" s="751">
        <f>Model!BH16</f>
        <v>160</v>
      </c>
      <c r="BI11" s="347">
        <f>Model!BI16</f>
        <v>50</v>
      </c>
      <c r="BJ11" s="1005">
        <f>Model!BJ16</f>
        <v>530</v>
      </c>
      <c r="BK11" s="347">
        <f>Model!BK16</f>
        <v>50</v>
      </c>
      <c r="BL11" s="347">
        <f>Model!BL16</f>
        <v>50</v>
      </c>
      <c r="BM11" s="347">
        <f>Model!BM16</f>
        <v>50</v>
      </c>
      <c r="BN11" s="347">
        <f>Model!BN16</f>
        <v>50</v>
      </c>
      <c r="BO11" s="1005">
        <f>Model!BO16</f>
        <v>200</v>
      </c>
      <c r="BP11" s="1005">
        <f>Model!BP16</f>
        <v>200</v>
      </c>
      <c r="BQ11" s="1005">
        <f>Model!BQ16</f>
        <v>200</v>
      </c>
      <c r="BR11" s="1005">
        <f>Model!BR16</f>
        <v>200</v>
      </c>
      <c r="BS11" s="139"/>
    </row>
    <row r="12" spans="1:71" s="430" customFormat="1" ht="15">
      <c r="A12" s="438" t="s">
        <v>367</v>
      </c>
      <c r="B12" s="431"/>
      <c r="C12" s="1083">
        <f>Model!C17</f>
        <v>-1</v>
      </c>
      <c r="D12" s="1083">
        <f>Model!D17</f>
        <v>0</v>
      </c>
      <c r="E12" s="1083">
        <f>Model!E17</f>
        <v>0</v>
      </c>
      <c r="F12" s="1083">
        <f>Model!F17</f>
        <v>1</v>
      </c>
      <c r="G12" s="1083">
        <f>Model!G17</f>
        <v>0</v>
      </c>
      <c r="H12" s="433">
        <f>Model!H17</f>
        <v>0</v>
      </c>
      <c r="I12" s="433">
        <f>Model!I17</f>
        <v>-1</v>
      </c>
      <c r="J12" s="433">
        <f>Model!J17</f>
        <v>1</v>
      </c>
      <c r="K12" s="433">
        <f>Model!K17</f>
        <v>0</v>
      </c>
      <c r="L12" s="1083">
        <f>Model!L17</f>
        <v>0</v>
      </c>
      <c r="M12" s="433">
        <f>Model!M17</f>
        <v>15</v>
      </c>
      <c r="N12" s="433">
        <f>Model!N17</f>
        <v>55</v>
      </c>
      <c r="O12" s="433">
        <f>Model!O17</f>
        <v>53</v>
      </c>
      <c r="P12" s="433">
        <f>Model!P17</f>
        <v>54</v>
      </c>
      <c r="Q12" s="1083">
        <f>Model!Q17</f>
        <v>-1</v>
      </c>
      <c r="R12" s="433">
        <f>Model!R17</f>
        <v>56</v>
      </c>
      <c r="S12" s="433">
        <f>Model!S17</f>
        <v>59</v>
      </c>
      <c r="T12" s="433">
        <f>Model!T17</f>
        <v>61</v>
      </c>
      <c r="U12" s="433">
        <f>Model!U17</f>
        <v>58</v>
      </c>
      <c r="V12" s="1083">
        <f>Model!V17</f>
        <v>0</v>
      </c>
      <c r="W12" s="433">
        <f>Model!W17</f>
        <v>0</v>
      </c>
      <c r="X12" s="433">
        <f>Model!X17</f>
        <v>0</v>
      </c>
      <c r="Y12" s="433">
        <f>Model!Y17</f>
        <v>1</v>
      </c>
      <c r="Z12" s="433">
        <f>Model!Z17</f>
        <v>-1</v>
      </c>
      <c r="AA12" s="1083">
        <f>Model!AA17</f>
        <v>0</v>
      </c>
      <c r="AB12" s="433">
        <f>Model!AB17</f>
        <v>1</v>
      </c>
      <c r="AC12" s="433">
        <f>Model!AC17</f>
        <v>0</v>
      </c>
      <c r="AD12" s="433">
        <f>Model!AD17</f>
        <v>0</v>
      </c>
      <c r="AE12" s="433">
        <f>Model!AE17</f>
        <v>-2</v>
      </c>
      <c r="AF12" s="1083">
        <f>Model!AF17</f>
        <v>-1</v>
      </c>
      <c r="AG12" s="433">
        <f>Model!AG17</f>
        <v>0</v>
      </c>
      <c r="AH12" s="433">
        <f>Model!AH17</f>
        <v>0</v>
      </c>
      <c r="AI12" s="433">
        <f>Model!AI17</f>
        <v>-1</v>
      </c>
      <c r="AJ12" s="433">
        <f>Model!AJ17</f>
        <v>1</v>
      </c>
      <c r="AK12" s="1083">
        <f>Model!AK17</f>
        <v>0</v>
      </c>
      <c r="AL12" s="433">
        <f>Model!AL17</f>
        <v>-1</v>
      </c>
      <c r="AM12" s="433">
        <f>Model!AM17</f>
        <v>-1</v>
      </c>
      <c r="AN12" s="433">
        <f>Model!AN17</f>
        <v>-1</v>
      </c>
      <c r="AO12" s="433">
        <f>Model!AO17</f>
        <v>3</v>
      </c>
      <c r="AP12" s="1083">
        <f>Model!AP17</f>
        <v>0</v>
      </c>
      <c r="AQ12" s="433">
        <f>Model!AQ17</f>
        <v>0</v>
      </c>
      <c r="AR12" s="433">
        <f>Model!AR17</f>
        <v>1</v>
      </c>
      <c r="AS12" s="433">
        <f>Model!AS17</f>
        <v>0</v>
      </c>
      <c r="AT12" s="433">
        <f>Model!AT17</f>
        <v>0</v>
      </c>
      <c r="AU12" s="1083">
        <f>Model!AU17</f>
        <v>0</v>
      </c>
      <c r="AV12" s="433">
        <f>Model!AV17</f>
        <v>0</v>
      </c>
      <c r="AW12" s="433">
        <f>Model!AW17</f>
        <v>0</v>
      </c>
      <c r="AX12" s="433">
        <f>Model!AX17</f>
        <v>0</v>
      </c>
      <c r="AY12" s="433">
        <f>Model!AY17</f>
        <v>0</v>
      </c>
      <c r="AZ12" s="1083">
        <f>Model!AZ17</f>
        <v>0</v>
      </c>
      <c r="BA12" s="433">
        <f>Model!BA17</f>
        <v>-1</v>
      </c>
      <c r="BB12" s="433">
        <f>Model!BB17</f>
        <v>0</v>
      </c>
      <c r="BC12" s="433">
        <f>Model!BC17</f>
        <v>1</v>
      </c>
      <c r="BD12" s="433">
        <f>Model!BD17</f>
        <v>1</v>
      </c>
      <c r="BE12" s="1083">
        <f>Model!BE17</f>
        <v>1</v>
      </c>
      <c r="BF12" s="433">
        <f>Model!BF17</f>
        <v>0</v>
      </c>
      <c r="BG12" s="433">
        <f>Model!BG17</f>
        <v>0</v>
      </c>
      <c r="BH12" s="774">
        <f>Model!BH17</f>
        <v>0</v>
      </c>
      <c r="BI12" s="433">
        <f>Model!BI17</f>
        <v>0</v>
      </c>
      <c r="BJ12" s="1083">
        <f>Model!BJ17</f>
        <v>0</v>
      </c>
      <c r="BK12" s="433">
        <f>Model!BK17</f>
        <v>0</v>
      </c>
      <c r="BL12" s="433">
        <f>Model!BL17</f>
        <v>0</v>
      </c>
      <c r="BM12" s="433">
        <f>Model!BM17</f>
        <v>0</v>
      </c>
      <c r="BN12" s="433">
        <f>Model!BN17</f>
        <v>0</v>
      </c>
      <c r="BO12" s="1083">
        <f>Model!BO17</f>
        <v>0</v>
      </c>
      <c r="BP12" s="1083">
        <f>Model!BP17</f>
        <v>0</v>
      </c>
      <c r="BQ12" s="1083">
        <f>Model!BQ17</f>
        <v>0</v>
      </c>
      <c r="BR12" s="1083">
        <f>Model!BR17</f>
        <v>0</v>
      </c>
      <c r="BS12" s="139"/>
    </row>
    <row r="13" spans="1:71" s="44" customFormat="1" ht="15">
      <c r="A13" s="198" t="str">
        <f>INDEX(MO_UI_Premiums,0,COLUMN())</f>
        <v>Total Premiums, mm</v>
      </c>
      <c r="B13" s="199"/>
      <c r="C13" s="1011">
        <f t="shared" si="17" ref="C13:AZ13">INDEX(MO_UI_Premiums,0,COLUMN())</f>
        <v>16621</v>
      </c>
      <c r="D13" s="1011">
        <f t="shared" si="17"/>
        <v>18073</v>
      </c>
      <c r="E13" s="1011">
        <f t="shared" si="17"/>
        <v>20362</v>
      </c>
      <c r="F13" s="1011">
        <f t="shared" si="17"/>
        <v>22148</v>
      </c>
      <c r="G13" s="1011">
        <f t="shared" si="17"/>
        <v>20135</v>
      </c>
      <c r="H13" s="448">
        <f t="shared" si="17"/>
        <v>4854</v>
      </c>
      <c r="I13" s="448">
        <f t="shared" si="17"/>
        <v>4888</v>
      </c>
      <c r="J13" s="448">
        <f t="shared" si="17"/>
        <v>4841</v>
      </c>
      <c r="K13" s="448">
        <f t="shared" si="17"/>
        <v>4489</v>
      </c>
      <c r="L13" s="1011">
        <f t="shared" si="17"/>
        <v>19072</v>
      </c>
      <c r="M13" s="448">
        <f t="shared" si="17"/>
        <v>4432</v>
      </c>
      <c r="N13" s="448">
        <f t="shared" si="17"/>
        <v>4364</v>
      </c>
      <c r="O13" s="448">
        <f t="shared" si="17"/>
        <v>4380</v>
      </c>
      <c r="P13" s="448">
        <f t="shared" si="17"/>
        <v>4394</v>
      </c>
      <c r="Q13" s="1011">
        <f t="shared" si="17"/>
        <v>17570</v>
      </c>
      <c r="R13" s="448">
        <f t="shared" si="17"/>
        <v>4602</v>
      </c>
      <c r="S13" s="448">
        <f t="shared" si="17"/>
        <v>4823</v>
      </c>
      <c r="T13" s="448">
        <f t="shared" si="17"/>
        <v>5022</v>
      </c>
      <c r="U13" s="448">
        <f t="shared" si="17"/>
        <v>4778</v>
      </c>
      <c r="V13" s="1011">
        <f t="shared" si="17"/>
        <v>19225</v>
      </c>
      <c r="W13" s="448">
        <f t="shared" si="17"/>
        <v>4638</v>
      </c>
      <c r="X13" s="448">
        <f t="shared" si="17"/>
        <v>4665</v>
      </c>
      <c r="Y13" s="448">
        <f t="shared" si="17"/>
        <v>4648</v>
      </c>
      <c r="Z13" s="448">
        <f t="shared" si="17"/>
        <v>4580</v>
      </c>
      <c r="AA13" s="1011">
        <f t="shared" si="17"/>
        <v>18531</v>
      </c>
      <c r="AB13" s="448">
        <f t="shared" si="17"/>
        <v>4745</v>
      </c>
      <c r="AC13" s="448">
        <f t="shared" si="17"/>
        <v>4706</v>
      </c>
      <c r="AD13" s="448">
        <f t="shared" si="17"/>
        <v>4636</v>
      </c>
      <c r="AE13" s="448">
        <f t="shared" si="17"/>
        <v>4590</v>
      </c>
      <c r="AF13" s="1011">
        <f t="shared" si="17"/>
        <v>18677</v>
      </c>
      <c r="AG13" s="448">
        <f t="shared" si="17"/>
        <v>4691</v>
      </c>
      <c r="AH13" s="448">
        <f t="shared" si="17"/>
        <v>4681</v>
      </c>
      <c r="AI13" s="448">
        <f t="shared" si="17"/>
        <v>4736</v>
      </c>
      <c r="AJ13" s="448">
        <f t="shared" si="17"/>
        <v>4672</v>
      </c>
      <c r="AK13" s="1011">
        <f t="shared" si="17"/>
        <v>18780</v>
      </c>
      <c r="AL13" s="448">
        <f t="shared" si="17"/>
        <v>4681</v>
      </c>
      <c r="AM13" s="448">
        <f t="shared" si="17"/>
        <v>4664</v>
      </c>
      <c r="AN13" s="448">
        <f t="shared" si="17"/>
        <v>4623</v>
      </c>
      <c r="AO13" s="448">
        <f t="shared" si="17"/>
        <v>4654</v>
      </c>
      <c r="AP13" s="1011">
        <f t="shared" si="17"/>
        <v>18622</v>
      </c>
      <c r="AQ13" s="448">
        <f t="shared" si="17"/>
        <v>4593</v>
      </c>
      <c r="AR13" s="448">
        <f t="shared" si="17"/>
        <v>4441</v>
      </c>
      <c r="AS13" s="448">
        <f t="shared" si="17"/>
        <v>4372</v>
      </c>
      <c r="AT13" s="448">
        <f t="shared" si="17"/>
        <v>4241</v>
      </c>
      <c r="AU13" s="1011">
        <f t="shared" si="17"/>
        <v>17647</v>
      </c>
      <c r="AV13" s="448">
        <f t="shared" si="17"/>
        <v>4079</v>
      </c>
      <c r="AW13" s="448">
        <f t="shared" si="17"/>
        <v>3764</v>
      </c>
      <c r="AX13" s="448">
        <f t="shared" si="17"/>
        <v>3535</v>
      </c>
      <c r="AY13" s="448">
        <f t="shared" si="17"/>
        <v>3523</v>
      </c>
      <c r="AZ13" s="1011">
        <f t="shared" si="17"/>
        <v>14901</v>
      </c>
      <c r="BA13" s="448">
        <f t="shared" si="18" ref="BA13:BE13">INDEX(MO_UI_Premiums,0,COLUMN())</f>
        <v>3688</v>
      </c>
      <c r="BB13" s="448">
        <f t="shared" si="18"/>
        <v>3573</v>
      </c>
      <c r="BC13" s="448">
        <f>INDEX(MO_UI_Premiums,0,COLUMN())</f>
        <v>3476</v>
      </c>
      <c r="BD13" s="448">
        <f t="shared" si="18"/>
        <v>3386</v>
      </c>
      <c r="BE13" s="1011">
        <f t="shared" si="18"/>
        <v>14123</v>
      </c>
      <c r="BF13" s="448">
        <f t="shared" si="19" ref="BF13:BJ13">INDEX(MO_UI_Premiums,0,COLUMN())</f>
        <v>3456</v>
      </c>
      <c r="BG13" s="448">
        <f t="shared" si="19"/>
        <v>3325</v>
      </c>
      <c r="BH13" s="757">
        <f>INDEX(MO_UI_Premiums,0,COLUMN())</f>
        <v>3328</v>
      </c>
      <c r="BI13" s="448">
        <f t="shared" si="19"/>
        <v>3717.12</v>
      </c>
      <c r="BJ13" s="1011">
        <f t="shared" si="19"/>
        <v>13826.12</v>
      </c>
      <c r="BK13" s="448">
        <f t="shared" si="20" ref="BK13:BR13">INDEX(MO_UI_Premiums,0,COLUMN())</f>
        <v>3257.5749999999998</v>
      </c>
      <c r="BL13" s="448">
        <f t="shared" si="20"/>
        <v>3244.4250000000002</v>
      </c>
      <c r="BM13" s="448">
        <f t="shared" si="20"/>
        <v>3481.6449999999995</v>
      </c>
      <c r="BN13" s="448">
        <f t="shared" si="20"/>
        <v>3967.2956000000004</v>
      </c>
      <c r="BO13" s="1011">
        <f t="shared" si="20"/>
        <v>13950.9406</v>
      </c>
      <c r="BP13" s="1011">
        <f t="shared" si="20"/>
        <v>14059.063203</v>
      </c>
      <c r="BQ13" s="1011">
        <f t="shared" si="20"/>
        <v>14168.120098014999</v>
      </c>
      <c r="BR13" s="1011">
        <f t="shared" si="20"/>
        <v>14278.119893295074</v>
      </c>
      <c r="BS13" s="448"/>
    </row>
    <row r="14" spans="1:71" s="56" customFormat="1" ht="15">
      <c r="A14" s="201"/>
      <c r="B14" s="202"/>
      <c r="C14" s="1003"/>
      <c r="D14" s="1003"/>
      <c r="E14" s="1003"/>
      <c r="F14" s="1003"/>
      <c r="G14" s="1003"/>
      <c r="H14" s="139"/>
      <c r="I14" s="139"/>
      <c r="J14" s="139"/>
      <c r="K14" s="139"/>
      <c r="L14" s="1003"/>
      <c r="M14" s="139"/>
      <c r="N14" s="139"/>
      <c r="O14" s="139"/>
      <c r="P14" s="139"/>
      <c r="Q14" s="1003"/>
      <c r="R14" s="139"/>
      <c r="S14" s="139"/>
      <c r="T14" s="139"/>
      <c r="U14" s="139"/>
      <c r="V14" s="1003"/>
      <c r="W14" s="139"/>
      <c r="X14" s="139"/>
      <c r="Y14" s="139"/>
      <c r="Z14" s="139"/>
      <c r="AA14" s="1003"/>
      <c r="AB14" s="139"/>
      <c r="AC14" s="139"/>
      <c r="AD14" s="139"/>
      <c r="AE14" s="139"/>
      <c r="AF14" s="1003"/>
      <c r="AG14" s="139"/>
      <c r="AH14" s="139"/>
      <c r="AI14" s="139"/>
      <c r="AJ14" s="139"/>
      <c r="AK14" s="1003"/>
      <c r="AL14" s="139"/>
      <c r="AM14" s="139"/>
      <c r="AN14" s="139"/>
      <c r="AO14" s="139"/>
      <c r="AP14" s="1003"/>
      <c r="AQ14" s="139"/>
      <c r="AR14" s="139"/>
      <c r="AS14" s="139"/>
      <c r="AT14" s="139"/>
      <c r="AU14" s="1003"/>
      <c r="AV14" s="139"/>
      <c r="AW14" s="139"/>
      <c r="AX14" s="139"/>
      <c r="AY14" s="139"/>
      <c r="AZ14" s="1003"/>
      <c r="BA14" s="139"/>
      <c r="BB14" s="139"/>
      <c r="BC14" s="139"/>
      <c r="BD14" s="139"/>
      <c r="BE14" s="1003"/>
      <c r="BF14" s="139"/>
      <c r="BG14" s="139"/>
      <c r="BH14" s="750"/>
      <c r="BI14" s="139"/>
      <c r="BJ14" s="1003"/>
      <c r="BK14" s="139"/>
      <c r="BL14" s="139"/>
      <c r="BM14" s="139"/>
      <c r="BN14" s="139"/>
      <c r="BO14" s="1003"/>
      <c r="BP14" s="1003"/>
      <c r="BQ14" s="1003"/>
      <c r="BR14" s="1003"/>
      <c r="BS14" s="139"/>
    </row>
    <row r="15" spans="1:71" s="41" customFormat="1" ht="15">
      <c r="A15" s="405" t="s">
        <v>366</v>
      </c>
      <c r="B15" s="204"/>
      <c r="C15" s="1084">
        <f>Model!C97</f>
        <v>0.19329007317409913</v>
      </c>
      <c r="D15" s="1084">
        <f>Model!D97</f>
        <v>0.20548288164236089</v>
      </c>
      <c r="E15" s="1084">
        <f>Model!E97</f>
        <v>0.20863074156813599</v>
      </c>
      <c r="F15" s="1084">
        <f>Model!F97</f>
        <v>0.19468408716900215</v>
      </c>
      <c r="G15" s="1084">
        <f>Model!G97</f>
        <v>0.20511080958842154</v>
      </c>
      <c r="H15" s="144">
        <f>Model!H97</f>
        <v>0.22051524462302055</v>
      </c>
      <c r="I15" s="144">
        <f>Model!I97</f>
        <v>0.21729957805907174</v>
      </c>
      <c r="J15" s="144">
        <f>Model!J97</f>
        <v>0.19625503673856365</v>
      </c>
      <c r="K15" s="144">
        <f>Model!K97</f>
        <v>0.20057306590257878</v>
      </c>
      <c r="L15" s="1084">
        <f>Model!L97</f>
        <v>0.20887949260042282</v>
      </c>
      <c r="M15" s="144">
        <f>Model!M97</f>
        <v>0.22141119221411193</v>
      </c>
      <c r="N15" s="144">
        <f>Model!N97</f>
        <v>0.21086350974930362</v>
      </c>
      <c r="O15" s="144">
        <f>Model!O97</f>
        <v>0.21953255425709517</v>
      </c>
      <c r="P15" s="144">
        <f>Model!P97</f>
        <v>0.2231404958677686</v>
      </c>
      <c r="Q15" s="1084">
        <f>Model!Q97</f>
        <v>0.21876937917728934</v>
      </c>
      <c r="R15" s="144">
        <f>Model!R97</f>
        <v>0.21339687582737624</v>
      </c>
      <c r="S15" s="144">
        <f>Model!S97</f>
        <v>0.19960179193628672</v>
      </c>
      <c r="T15" s="144">
        <f>Model!T97</f>
        <v>0.19629717540944694</v>
      </c>
      <c r="U15" s="144">
        <f>Model!U97</f>
        <v>0.18110236220472442</v>
      </c>
      <c r="V15" s="1084">
        <f>Model!V97</f>
        <v>0.19742866102226403</v>
      </c>
      <c r="W15" s="144">
        <f>Model!W97</f>
        <v>0.2044668971018346</v>
      </c>
      <c r="X15" s="144">
        <f>Model!X97</f>
        <v>0.20876220638690948</v>
      </c>
      <c r="Y15" s="144">
        <f>Model!Y97</f>
        <v>0.19830328738069988</v>
      </c>
      <c r="Z15" s="144">
        <f>Model!Z97</f>
        <v>0.20129519697787371</v>
      </c>
      <c r="AA15" s="1084">
        <f>Model!AA97</f>
        <v>0.2032206547777482</v>
      </c>
      <c r="AB15" s="144">
        <f>Model!AB97</f>
        <v>0.21175252394512037</v>
      </c>
      <c r="AC15" s="144">
        <f>Model!AC97</f>
        <v>0.21748178980228927</v>
      </c>
      <c r="AD15" s="144">
        <f>Model!AD97</f>
        <v>0.20026490066225167</v>
      </c>
      <c r="AE15" s="144">
        <f>Model!AE97</f>
        <v>0.21428571428571427</v>
      </c>
      <c r="AF15" s="1084">
        <f>Model!AF97</f>
        <v>0.21096935420228857</v>
      </c>
      <c r="AG15" s="144">
        <f>Model!AG97</f>
        <v>0.2318840579710145</v>
      </c>
      <c r="AH15" s="144">
        <f>Model!AH97</f>
        <v>0.21914556962025317</v>
      </c>
      <c r="AI15" s="144">
        <f>Model!AI97</f>
        <v>0.21421267893660531</v>
      </c>
      <c r="AJ15" s="144">
        <f>Model!AJ97</f>
        <v>0.18611481975967958</v>
      </c>
      <c r="AK15" s="1084">
        <f>Model!AK97</f>
        <v>0.21302161562071442</v>
      </c>
      <c r="AL15" s="144">
        <f>Model!AL97</f>
        <v>0.22482250854588484</v>
      </c>
      <c r="AM15" s="144">
        <f>Model!AM97</f>
        <v>0.22061530370759927</v>
      </c>
      <c r="AN15" s="144">
        <f>Model!AN97</f>
        <v>0.19442998438313377</v>
      </c>
      <c r="AO15" s="144">
        <f>Model!AO97</f>
        <v>0.20927861330614325</v>
      </c>
      <c r="AP15" s="1084">
        <f>Model!AP97</f>
        <v>0.21228287034025112</v>
      </c>
      <c r="AQ15" s="144">
        <f>Model!AQ97</f>
        <v>0.23092944545691227</v>
      </c>
      <c r="AR15" s="144">
        <f>Model!AR97</f>
        <v>0.2649775666402745</v>
      </c>
      <c r="AS15" s="144">
        <f>Model!AS97</f>
        <v>0.26382519557593742</v>
      </c>
      <c r="AT15" s="144">
        <f>Model!AT97</f>
        <v>0.24714405126776262</v>
      </c>
      <c r="AU15" s="1084">
        <f>Model!AU97</f>
        <v>0.25152428810720268</v>
      </c>
      <c r="AV15" s="144">
        <f>Model!AV97</f>
        <v>0.26282438141219072</v>
      </c>
      <c r="AW15" s="144">
        <f>Model!AW97</f>
        <v>0.28473581213307242</v>
      </c>
      <c r="AX15" s="144">
        <f>Model!AX97</f>
        <v>0.29245620307472292</v>
      </c>
      <c r="AY15" s="144">
        <f>Model!AY97</f>
        <v>0.26575746406192408</v>
      </c>
      <c r="AZ15" s="1084">
        <f>Model!AZ97</f>
        <v>0.275946173254836</v>
      </c>
      <c r="BA15" s="144">
        <f>Model!BA97</f>
        <v>0.28243727598566309</v>
      </c>
      <c r="BB15" s="144">
        <f>Model!BB97</f>
        <v>0.3033210332103321</v>
      </c>
      <c r="BC15" s="144">
        <f>Model!BC97</f>
        <v>0.32631578947368423</v>
      </c>
      <c r="BD15" s="144">
        <f>Model!BD97</f>
        <v>0.30163803435876946</v>
      </c>
      <c r="BE15" s="1084">
        <f>Model!BE97</f>
        <v>0.30335708927231808</v>
      </c>
      <c r="BF15" s="144">
        <f>Model!BF97</f>
        <v>0.3279417711281844</v>
      </c>
      <c r="BG15" s="144">
        <f>Model!BG97</f>
        <v>0.35349407437678793</v>
      </c>
      <c r="BH15" s="775">
        <f>Model!BH97</f>
        <v>0.45121951219512196</v>
      </c>
      <c r="BI15" s="144">
        <f>Model!BI97</f>
        <v>0.16999999999999998</v>
      </c>
      <c r="BJ15" s="1084">
        <f>Model!BJ97</f>
        <v>0.31450798440855066</v>
      </c>
      <c r="BK15" s="144">
        <f>Model!BK97</f>
        <v>0.24000000000000005</v>
      </c>
      <c r="BL15" s="144">
        <f>Model!BL97</f>
        <v>0.23</v>
      </c>
      <c r="BM15" s="144">
        <f>Model!BM97</f>
        <v>0.2299999999999999</v>
      </c>
      <c r="BN15" s="144">
        <f>Model!BN97</f>
        <v>0.23</v>
      </c>
      <c r="BO15" s="1084">
        <f>Model!BO97</f>
        <v>0.2322555066922776</v>
      </c>
      <c r="BP15" s="1084">
        <f>Model!BP97</f>
        <v>0.22999999999999995</v>
      </c>
      <c r="BQ15" s="1084">
        <f>Model!BQ97</f>
        <v>0.22999999999999998</v>
      </c>
      <c r="BR15" s="1084">
        <f>Model!BR97</f>
        <v>0.2299999999999999</v>
      </c>
      <c r="BS15" s="144"/>
    </row>
    <row r="16" spans="1:71" s="41" customFormat="1" ht="15">
      <c r="A16" s="405" t="s">
        <v>336</v>
      </c>
      <c r="B16" s="204"/>
      <c r="C16" s="1084">
        <f>Model!C127</f>
        <v>0.15667272360185747</v>
      </c>
      <c r="D16" s="1084">
        <f>Model!D127</f>
        <v>0.17916828604741547</v>
      </c>
      <c r="E16" s="1084">
        <f>Model!E127</f>
        <v>0.16925669350308931</v>
      </c>
      <c r="F16" s="1084">
        <f>Model!F127</f>
        <v>0.17714996446339729</v>
      </c>
      <c r="G16" s="1084">
        <f>Model!G127</f>
        <v>0.17924365394577793</v>
      </c>
      <c r="H16" s="144">
        <f>Model!H127</f>
        <v>0.20824742268041238</v>
      </c>
      <c r="I16" s="144">
        <f>Model!I127</f>
        <v>0.20366598778004075</v>
      </c>
      <c r="J16" s="144">
        <f>Model!J127</f>
        <v>0.18324250681198911</v>
      </c>
      <c r="K16" s="144">
        <f>Model!K127</f>
        <v>0.13738892686261106</v>
      </c>
      <c r="L16" s="1084">
        <f>Model!L127</f>
        <v>0.18313705410479603</v>
      </c>
      <c r="M16" s="144">
        <f>Model!M127</f>
        <v>0.18899204244031831</v>
      </c>
      <c r="N16" s="144">
        <f>Model!N127</f>
        <v>0.19520319786808793</v>
      </c>
      <c r="O16" s="144">
        <f>Model!O127</f>
        <v>0.18815789473684211</v>
      </c>
      <c r="P16" s="144">
        <f>Model!P127</f>
        <v>0.15757978723404256</v>
      </c>
      <c r="Q16" s="1084">
        <f>Model!Q127</f>
        <v>0.18249627051218301</v>
      </c>
      <c r="R16" s="144">
        <f>Model!R127</f>
        <v>0.21502590673575128</v>
      </c>
      <c r="S16" s="144">
        <f>Model!S127</f>
        <v>0.18920676202860859</v>
      </c>
      <c r="T16" s="144">
        <f>Model!T127</f>
        <v>0.20946822308690013</v>
      </c>
      <c r="U16" s="144">
        <f>Model!U127</f>
        <v>0.16979909267660401</v>
      </c>
      <c r="V16" s="1084">
        <f>Model!V127</f>
        <v>0.1958813037133128</v>
      </c>
      <c r="W16" s="144">
        <f>Model!W127</f>
        <v>0.1975780752071383</v>
      </c>
      <c r="X16" s="144">
        <f>Model!X127</f>
        <v>0.21019108280254778</v>
      </c>
      <c r="Y16" s="144">
        <f>Model!Y127</f>
        <v>0.20063492063492064</v>
      </c>
      <c r="Z16" s="144">
        <f>Model!Z127</f>
        <v>0.18349206349206348</v>
      </c>
      <c r="AA16" s="1084">
        <f>Model!AA127</f>
        <v>0.19796470027031324</v>
      </c>
      <c r="AB16" s="144">
        <f>Model!AB127</f>
        <v>0.21009975062344138</v>
      </c>
      <c r="AC16" s="144">
        <f>Model!AC127</f>
        <v>0.21118012422360249</v>
      </c>
      <c r="AD16" s="144">
        <f>Model!AD127</f>
        <v>0.20668316831683167</v>
      </c>
      <c r="AE16" s="144">
        <f>Model!AE127</f>
        <v>0.1698698078115313</v>
      </c>
      <c r="AF16" s="1084">
        <f>Model!AF127</f>
        <v>0.19944125407418906</v>
      </c>
      <c r="AG16" s="144">
        <f>Model!AG127</f>
        <v>0.19695121951219513</v>
      </c>
      <c r="AH16" s="144">
        <f>Model!AH127</f>
        <v>0.20597196831200487</v>
      </c>
      <c r="AI16" s="144">
        <f>Model!AI127</f>
        <v>0.20552147239263804</v>
      </c>
      <c r="AJ16" s="144">
        <f>Model!AJ127</f>
        <v>0.16839536302623551</v>
      </c>
      <c r="AK16" s="1084">
        <f>Model!AK127</f>
        <v>0.19419847328244275</v>
      </c>
      <c r="AL16" s="144">
        <f>Model!AL127</f>
        <v>0.19324244220509781</v>
      </c>
      <c r="AM16" s="144">
        <f>Model!AM127</f>
        <v>0.25724637681159418</v>
      </c>
      <c r="AN16" s="144">
        <f>Model!AN127</f>
        <v>0.20547945205479451</v>
      </c>
      <c r="AO16" s="144">
        <f>Model!AO127</f>
        <v>0.11564625850340136</v>
      </c>
      <c r="AP16" s="1084">
        <f>Model!AP127</f>
        <v>0.19314546839299315</v>
      </c>
      <c r="AQ16" s="144">
        <f>Model!AQ127</f>
        <v>0.27457002457002455</v>
      </c>
      <c r="AR16" s="144">
        <f>Model!AR127</f>
        <v>0.25384142593730791</v>
      </c>
      <c r="AS16" s="144">
        <f>Model!AS127</f>
        <v>0.22215346534653466</v>
      </c>
      <c r="AT16" s="144">
        <f>Model!AT127</f>
        <v>0.1612106238418777</v>
      </c>
      <c r="AU16" s="1084">
        <f>Model!AU127</f>
        <v>0.22777007243026662</v>
      </c>
      <c r="AV16" s="144">
        <f>Model!AV127</f>
        <v>0.20256253813300792</v>
      </c>
      <c r="AW16" s="144">
        <f>Model!AW127</f>
        <v>0.2106879606879607</v>
      </c>
      <c r="AX16" s="144">
        <f>Model!AX127</f>
        <v>0.21526908635794745</v>
      </c>
      <c r="AY16" s="144">
        <f>Model!AY127</f>
        <v>0.20913016656384947</v>
      </c>
      <c r="AZ16" s="1084">
        <f>Model!AZ127</f>
        <v>0.20952821461609622</v>
      </c>
      <c r="BA16" s="144">
        <f>Model!BA127</f>
        <v>0.21265060240963857</v>
      </c>
      <c r="BB16" s="144">
        <f>Model!BB127</f>
        <v>0.22188815393866507</v>
      </c>
      <c r="BC16" s="144">
        <f>Model!BC127</f>
        <v>0.28717639975918119</v>
      </c>
      <c r="BD16" s="144">
        <f>Model!BD127</f>
        <v>0.18303843807199513</v>
      </c>
      <c r="BE16" s="1084">
        <f>Model!BE127</f>
        <v>0.226634455684735</v>
      </c>
      <c r="BF16" s="144">
        <f>Model!BF127</f>
        <v>0.20953502060035314</v>
      </c>
      <c r="BG16" s="144">
        <f>Model!BG127</f>
        <v>0.22684085510688837</v>
      </c>
      <c r="BH16" s="775">
        <f>Model!BH127</f>
        <v>0.20783847980997625</v>
      </c>
      <c r="BI16" s="144">
        <f>Model!BI127</f>
        <v>0.18800000000000006</v>
      </c>
      <c r="BJ16" s="1084">
        <f>Model!BJ127</f>
        <v>0.20809178868726164</v>
      </c>
      <c r="BK16" s="144">
        <f>Model!BK127</f>
        <v>0.255</v>
      </c>
      <c r="BL16" s="144">
        <f>Model!BL127</f>
        <v>0.29999999999999993</v>
      </c>
      <c r="BM16" s="144">
        <f>Model!BM127</f>
        <v>0.23799999999999999</v>
      </c>
      <c r="BN16" s="144">
        <f>Model!BN127</f>
        <v>0.23799999999999988</v>
      </c>
      <c r="BO16" s="1084">
        <f>Model!BO127</f>
        <v>0.25766830131096702</v>
      </c>
      <c r="BP16" s="1084">
        <f>Model!BP127</f>
        <v>0.24799999999999997</v>
      </c>
      <c r="BQ16" s="1084">
        <f>Model!BQ127</f>
        <v>0.21799999999999997</v>
      </c>
      <c r="BR16" s="1084">
        <f>Model!BR127</f>
        <v>0.21799999999999994</v>
      </c>
      <c r="BS16" s="144"/>
    </row>
    <row r="17" spans="1:71" s="56" customFormat="1" ht="15">
      <c r="A17" s="201"/>
      <c r="B17" s="202"/>
      <c r="C17" s="1003"/>
      <c r="D17" s="1003"/>
      <c r="E17" s="1003"/>
      <c r="F17" s="1003"/>
      <c r="G17" s="1003"/>
      <c r="H17" s="139"/>
      <c r="I17" s="139"/>
      <c r="J17" s="139"/>
      <c r="K17" s="139"/>
      <c r="L17" s="1003"/>
      <c r="M17" s="139"/>
      <c r="N17" s="139"/>
      <c r="O17" s="139"/>
      <c r="P17" s="139"/>
      <c r="Q17" s="1003"/>
      <c r="R17" s="139"/>
      <c r="S17" s="139"/>
      <c r="T17" s="139"/>
      <c r="U17" s="139"/>
      <c r="V17" s="1003"/>
      <c r="W17" s="139"/>
      <c r="X17" s="139"/>
      <c r="Y17" s="139"/>
      <c r="Z17" s="139"/>
      <c r="AA17" s="1003"/>
      <c r="AB17" s="139"/>
      <c r="AC17" s="139"/>
      <c r="AD17" s="139"/>
      <c r="AE17" s="139"/>
      <c r="AF17" s="1003"/>
      <c r="AG17" s="139"/>
      <c r="AH17" s="139"/>
      <c r="AI17" s="139"/>
      <c r="AJ17" s="139"/>
      <c r="AK17" s="1003"/>
      <c r="AL17" s="139"/>
      <c r="AM17" s="139"/>
      <c r="AN17" s="139"/>
      <c r="AO17" s="139"/>
      <c r="AP17" s="1003"/>
      <c r="AQ17" s="139"/>
      <c r="AR17" s="139"/>
      <c r="AS17" s="139"/>
      <c r="AT17" s="139"/>
      <c r="AU17" s="1003"/>
      <c r="AV17" s="139"/>
      <c r="AW17" s="139"/>
      <c r="AX17" s="139"/>
      <c r="AY17" s="139"/>
      <c r="AZ17" s="1003"/>
      <c r="BA17" s="139"/>
      <c r="BB17" s="139"/>
      <c r="BC17" s="139"/>
      <c r="BD17" s="139"/>
      <c r="BE17" s="1003"/>
      <c r="BF17" s="139"/>
      <c r="BG17" s="139"/>
      <c r="BH17" s="750"/>
      <c r="BI17" s="139"/>
      <c r="BJ17" s="1003"/>
      <c r="BK17" s="139"/>
      <c r="BL17" s="139"/>
      <c r="BM17" s="139"/>
      <c r="BN17" s="139"/>
      <c r="BO17" s="1003"/>
      <c r="BP17" s="1003"/>
      <c r="BQ17" s="1003"/>
      <c r="BR17" s="1003"/>
      <c r="BS17" s="139"/>
    </row>
    <row r="18" spans="1:71" ht="15">
      <c r="A18" s="131" t="s">
        <v>252</v>
      </c>
      <c r="B18" s="819"/>
      <c r="C18" s="867"/>
      <c r="D18" s="867"/>
      <c r="E18" s="867"/>
      <c r="F18" s="867"/>
      <c r="G18" s="867"/>
      <c r="H18" s="867"/>
      <c r="I18" s="867"/>
      <c r="J18" s="867"/>
      <c r="K18" s="867"/>
      <c r="L18" s="867"/>
      <c r="M18" s="867"/>
      <c r="N18" s="867"/>
      <c r="O18" s="867"/>
      <c r="P18" s="867"/>
      <c r="Q18" s="867"/>
      <c r="R18" s="867"/>
      <c r="S18" s="867"/>
      <c r="T18" s="867"/>
      <c r="U18" s="867"/>
      <c r="V18" s="867"/>
      <c r="W18" s="867"/>
      <c r="X18" s="867"/>
      <c r="Y18" s="867"/>
      <c r="Z18" s="867"/>
      <c r="AA18" s="867"/>
      <c r="AB18" s="867"/>
      <c r="AC18" s="867"/>
      <c r="AD18" s="867"/>
      <c r="AE18" s="867"/>
      <c r="AF18" s="867"/>
      <c r="AG18" s="867"/>
      <c r="AH18" s="867"/>
      <c r="AI18" s="867"/>
      <c r="AJ18" s="867"/>
      <c r="AK18" s="867"/>
      <c r="AL18" s="867"/>
      <c r="AM18" s="867"/>
      <c r="AN18" s="867"/>
      <c r="AO18" s="867"/>
      <c r="AP18" s="867"/>
      <c r="AQ18" s="867"/>
      <c r="AR18" s="867"/>
      <c r="AS18" s="867"/>
      <c r="AT18" s="867"/>
      <c r="AU18" s="867"/>
      <c r="AV18" s="867"/>
      <c r="AW18" s="867"/>
      <c r="AX18" s="867"/>
      <c r="AY18" s="867"/>
      <c r="AZ18" s="867"/>
      <c r="BA18" s="867"/>
      <c r="BB18" s="867"/>
      <c r="BC18" s="867"/>
      <c r="BD18" s="867"/>
      <c r="BE18" s="867"/>
      <c r="BF18" s="867"/>
      <c r="BG18" s="867"/>
      <c r="BH18" s="868"/>
      <c r="BI18" s="867"/>
      <c r="BJ18" s="867"/>
      <c r="BK18" s="867"/>
      <c r="BL18" s="867"/>
      <c r="BM18" s="867"/>
      <c r="BN18" s="867"/>
      <c r="BO18" s="867"/>
      <c r="BP18" s="867"/>
      <c r="BQ18" s="867"/>
      <c r="BR18" s="867"/>
      <c r="BS18" s="821"/>
    </row>
    <row r="19" spans="1:71" ht="15">
      <c r="A19" s="198" t="str">
        <f>INDEX(MO_II_TotalInvestments,0,COLUMN())</f>
        <v>Total Investments - End of Period, mm</v>
      </c>
      <c r="B19" s="199"/>
      <c r="C19" s="1011">
        <f t="shared" si="21" ref="C19:AZ19">INDEX(MO_II_TotalInvestments,0,COLUMN())</f>
        <v>70869</v>
      </c>
      <c r="D19" s="1011">
        <f t="shared" si="21"/>
        <v>86109</v>
      </c>
      <c r="E19" s="1011">
        <f t="shared" si="21"/>
        <v>101213</v>
      </c>
      <c r="F19" s="1011">
        <f t="shared" si="21"/>
        <v>116178</v>
      </c>
      <c r="G19" s="1011">
        <f t="shared" si="21"/>
        <v>105916</v>
      </c>
      <c r="H19" s="448">
        <f t="shared" si="21"/>
        <v>108499</v>
      </c>
      <c r="I19" s="448">
        <f t="shared" si="21"/>
        <v>112482</v>
      </c>
      <c r="J19" s="448">
        <f t="shared" si="21"/>
        <v>112025</v>
      </c>
      <c r="K19" s="448">
        <f t="shared" si="21"/>
        <v>102683</v>
      </c>
      <c r="L19" s="1011">
        <f t="shared" si="21"/>
        <v>102683</v>
      </c>
      <c r="M19" s="448">
        <f t="shared" si="21"/>
        <v>104348</v>
      </c>
      <c r="N19" s="448">
        <f t="shared" si="21"/>
        <v>100177</v>
      </c>
      <c r="O19" s="448">
        <f t="shared" si="21"/>
        <v>101380</v>
      </c>
      <c r="P19" s="448">
        <f t="shared" si="21"/>
        <v>101547</v>
      </c>
      <c r="Q19" s="1011">
        <f t="shared" si="21"/>
        <v>101547</v>
      </c>
      <c r="R19" s="448">
        <f t="shared" si="21"/>
        <v>110871</v>
      </c>
      <c r="S19" s="448">
        <f t="shared" si="21"/>
        <v>122283</v>
      </c>
      <c r="T19" s="448">
        <f t="shared" si="21"/>
        <v>123665</v>
      </c>
      <c r="U19" s="448">
        <f t="shared" si="21"/>
        <v>111502</v>
      </c>
      <c r="V19" s="1011">
        <f t="shared" si="21"/>
        <v>111502</v>
      </c>
      <c r="W19" s="448">
        <f t="shared" si="21"/>
        <v>116298</v>
      </c>
      <c r="X19" s="448">
        <f t="shared" si="21"/>
        <v>117632</v>
      </c>
      <c r="Y19" s="448">
        <f t="shared" si="21"/>
        <v>117562</v>
      </c>
      <c r="Z19" s="448">
        <f t="shared" si="21"/>
        <v>120168</v>
      </c>
      <c r="AA19" s="1011">
        <f t="shared" si="21"/>
        <v>120168</v>
      </c>
      <c r="AB19" s="448">
        <f t="shared" si="21"/>
        <v>128591</v>
      </c>
      <c r="AC19" s="448">
        <f t="shared" si="21"/>
        <v>124074</v>
      </c>
      <c r="AD19" s="448">
        <f t="shared" si="21"/>
        <v>120785</v>
      </c>
      <c r="AE19" s="448">
        <f t="shared" si="21"/>
        <v>121906</v>
      </c>
      <c r="AF19" s="1011">
        <f t="shared" si="21"/>
        <v>121906</v>
      </c>
      <c r="AG19" s="448">
        <f t="shared" si="21"/>
        <v>127546</v>
      </c>
      <c r="AH19" s="448">
        <f t="shared" si="21"/>
        <v>133578</v>
      </c>
      <c r="AI19" s="448">
        <f t="shared" si="21"/>
        <v>135294</v>
      </c>
      <c r="AJ19" s="448">
        <f t="shared" si="21"/>
        <v>133195</v>
      </c>
      <c r="AK19" s="1011">
        <f t="shared" si="21"/>
        <v>133195</v>
      </c>
      <c r="AL19" s="448">
        <f t="shared" si="21"/>
        <v>132819</v>
      </c>
      <c r="AM19" s="448">
        <f t="shared" si="21"/>
        <v>136705</v>
      </c>
      <c r="AN19" s="448">
        <f t="shared" si="21"/>
        <v>140566</v>
      </c>
      <c r="AO19" s="448">
        <f t="shared" si="21"/>
        <v>144612</v>
      </c>
      <c r="AP19" s="1011">
        <f t="shared" si="21"/>
        <v>144612</v>
      </c>
      <c r="AQ19" s="448">
        <f t="shared" si="21"/>
        <v>138299</v>
      </c>
      <c r="AR19" s="448">
        <f t="shared" si="21"/>
        <v>141240</v>
      </c>
      <c r="AS19" s="448">
        <f t="shared" si="21"/>
        <v>139796</v>
      </c>
      <c r="AT19" s="448">
        <f t="shared" si="21"/>
        <v>137927</v>
      </c>
      <c r="AU19" s="1011">
        <f t="shared" si="21"/>
        <v>137927</v>
      </c>
      <c r="AV19" s="448">
        <f t="shared" si="21"/>
        <v>128324</v>
      </c>
      <c r="AW19" s="448">
        <f t="shared" si="21"/>
        <v>116242</v>
      </c>
      <c r="AX19" s="448">
        <f t="shared" si="21"/>
        <v>109818</v>
      </c>
      <c r="AY19" s="448">
        <f t="shared" si="21"/>
        <v>113454</v>
      </c>
      <c r="AZ19" s="1011">
        <f t="shared" si="21"/>
        <v>113454</v>
      </c>
      <c r="BA19" s="448">
        <f t="shared" si="22" ref="BA19:BE19">INDEX(MO_II_TotalInvestments,0,COLUMN())</f>
        <v>116691</v>
      </c>
      <c r="BB19" s="448">
        <f t="shared" si="22"/>
        <v>111743</v>
      </c>
      <c r="BC19" s="448">
        <f>INDEX(MO_II_TotalInvestments,0,COLUMN())</f>
        <v>105804</v>
      </c>
      <c r="BD19" s="448">
        <f t="shared" si="22"/>
        <v>109254</v>
      </c>
      <c r="BE19" s="1011">
        <f t="shared" si="22"/>
        <v>109254</v>
      </c>
      <c r="BF19" s="448">
        <f t="shared" si="23" ref="BF19:BJ19">INDEX(MO_II_TotalInvestments,0,COLUMN())</f>
        <v>106618</v>
      </c>
      <c r="BG19" s="448">
        <f t="shared" si="23"/>
        <v>101569</v>
      </c>
      <c r="BH19" s="757">
        <f>INDEX(MO_II_TotalInvestments,0,COLUMN())</f>
        <v>109989</v>
      </c>
      <c r="BI19" s="448">
        <f t="shared" si="23"/>
        <v>112060.25000000001</v>
      </c>
      <c r="BJ19" s="1011">
        <f t="shared" si="23"/>
        <v>112060.25000000001</v>
      </c>
      <c r="BK19" s="448">
        <f t="shared" si="24" ref="BK19:BR19">INDEX(MO_II_TotalInvestments,0,COLUMN())</f>
        <v>109611.14</v>
      </c>
      <c r="BL19" s="448">
        <f t="shared" si="24"/>
        <v>104545.45999999999</v>
      </c>
      <c r="BM19" s="448">
        <f t="shared" si="24"/>
        <v>112551.71000000001</v>
      </c>
      <c r="BN19" s="448">
        <f t="shared" si="24"/>
        <v>114673.36550000001</v>
      </c>
      <c r="BO19" s="1011">
        <f t="shared" si="24"/>
        <v>114673.36550000001</v>
      </c>
      <c r="BP19" s="1011">
        <f t="shared" si="24"/>
        <v>116461.55385500002</v>
      </c>
      <c r="BQ19" s="1011">
        <f t="shared" si="24"/>
        <v>118303.05182855003</v>
      </c>
      <c r="BR19" s="1011">
        <f t="shared" si="24"/>
        <v>120200.16390358552</v>
      </c>
      <c r="BS19" s="448"/>
    </row>
    <row r="20" spans="1:71" ht="15">
      <c r="A20" s="194"/>
      <c r="B20" s="195"/>
      <c r="C20" s="262"/>
      <c r="D20" s="262"/>
      <c r="E20" s="262"/>
      <c r="F20" s="262"/>
      <c r="G20" s="262"/>
      <c r="H20" s="870"/>
      <c r="I20" s="870"/>
      <c r="J20" s="870"/>
      <c r="K20" s="870"/>
      <c r="L20" s="262"/>
      <c r="M20" s="870"/>
      <c r="N20" s="870"/>
      <c r="O20" s="870"/>
      <c r="P20" s="870"/>
      <c r="Q20" s="262"/>
      <c r="R20" s="870"/>
      <c r="S20" s="870"/>
      <c r="T20" s="870"/>
      <c r="U20" s="870"/>
      <c r="V20" s="262"/>
      <c r="W20" s="870"/>
      <c r="X20" s="870"/>
      <c r="Y20" s="870"/>
      <c r="Z20" s="870"/>
      <c r="AA20" s="262"/>
      <c r="AB20" s="870"/>
      <c r="AC20" s="870"/>
      <c r="AD20" s="870"/>
      <c r="AE20" s="870"/>
      <c r="AF20" s="262"/>
      <c r="AG20" s="870"/>
      <c r="AH20" s="870"/>
      <c r="AI20" s="870"/>
      <c r="AJ20" s="870"/>
      <c r="AK20" s="262"/>
      <c r="AL20" s="870"/>
      <c r="AM20" s="870"/>
      <c r="AN20" s="870"/>
      <c r="AO20" s="870"/>
      <c r="AP20" s="262"/>
      <c r="AQ20" s="870"/>
      <c r="AR20" s="870"/>
      <c r="AS20" s="870"/>
      <c r="AT20" s="870"/>
      <c r="AU20" s="262"/>
      <c r="AV20" s="870"/>
      <c r="AW20" s="870"/>
      <c r="AX20" s="870"/>
      <c r="AY20" s="870"/>
      <c r="AZ20" s="262"/>
      <c r="BA20" s="870"/>
      <c r="BB20" s="870"/>
      <c r="BC20" s="870"/>
      <c r="BD20" s="870"/>
      <c r="BE20" s="262"/>
      <c r="BF20" s="870"/>
      <c r="BG20" s="870"/>
      <c r="BH20" s="871"/>
      <c r="BI20" s="870"/>
      <c r="BJ20" s="262"/>
      <c r="BK20" s="870"/>
      <c r="BL20" s="870"/>
      <c r="BM20" s="870"/>
      <c r="BN20" s="870"/>
      <c r="BO20" s="262"/>
      <c r="BP20" s="262"/>
      <c r="BQ20" s="262"/>
      <c r="BR20" s="262"/>
      <c r="BS20" s="820"/>
    </row>
    <row r="21" spans="1:71" s="40" customFormat="1" ht="15">
      <c r="A21" s="198" t="str">
        <f>INDEX(MO_II_NetII,0,COLUMN())</f>
        <v>Net Investment Income, mm</v>
      </c>
      <c r="B21" s="199"/>
      <c r="C21" s="1011">
        <f t="shared" si="25" ref="C21:AZ21">INDEX(MO_II_NetII,0,COLUMN())</f>
        <v>2765</v>
      </c>
      <c r="D21" s="1011">
        <f t="shared" si="25"/>
        <v>3007</v>
      </c>
      <c r="E21" s="1011">
        <f t="shared" si="25"/>
        <v>3280</v>
      </c>
      <c r="F21" s="1011">
        <f t="shared" si="25"/>
        <v>3473</v>
      </c>
      <c r="G21" s="1011">
        <f t="shared" si="25"/>
        <v>3293</v>
      </c>
      <c r="H21" s="448">
        <f t="shared" si="25"/>
        <v>827</v>
      </c>
      <c r="I21" s="448">
        <f t="shared" si="25"/>
        <v>843</v>
      </c>
      <c r="J21" s="448">
        <f t="shared" si="25"/>
        <v>841</v>
      </c>
      <c r="K21" s="448">
        <f t="shared" si="25"/>
        <v>808</v>
      </c>
      <c r="L21" s="1011">
        <f t="shared" si="25"/>
        <v>3319</v>
      </c>
      <c r="M21" s="448">
        <f t="shared" si="25"/>
        <v>782</v>
      </c>
      <c r="N21" s="448">
        <f t="shared" si="25"/>
        <v>777</v>
      </c>
      <c r="O21" s="448">
        <f t="shared" si="25"/>
        <v>784</v>
      </c>
      <c r="P21" s="448">
        <f t="shared" si="25"/>
        <v>792</v>
      </c>
      <c r="Q21" s="1011">
        <f t="shared" si="25"/>
        <v>3135</v>
      </c>
      <c r="R21" s="448">
        <f t="shared" si="25"/>
        <v>801</v>
      </c>
      <c r="S21" s="448">
        <f t="shared" si="25"/>
        <v>822</v>
      </c>
      <c r="T21" s="448">
        <f t="shared" si="25"/>
        <v>842</v>
      </c>
      <c r="U21" s="448">
        <f t="shared" si="25"/>
        <v>813</v>
      </c>
      <c r="V21" s="1011">
        <f t="shared" si="25"/>
        <v>3278</v>
      </c>
      <c r="W21" s="448">
        <f t="shared" si="25"/>
        <v>794</v>
      </c>
      <c r="X21" s="448">
        <f t="shared" si="25"/>
        <v>802</v>
      </c>
      <c r="Y21" s="448">
        <f t="shared" si="25"/>
        <v>811</v>
      </c>
      <c r="Z21" s="448">
        <f t="shared" si="25"/>
        <v>813</v>
      </c>
      <c r="AA21" s="1011">
        <f t="shared" si="25"/>
        <v>3220</v>
      </c>
      <c r="AB21" s="448">
        <f t="shared" si="25"/>
        <v>837</v>
      </c>
      <c r="AC21" s="448">
        <f t="shared" si="25"/>
        <v>862</v>
      </c>
      <c r="AD21" s="448">
        <f t="shared" si="25"/>
        <v>870</v>
      </c>
      <c r="AE21" s="448">
        <f t="shared" si="25"/>
        <v>873</v>
      </c>
      <c r="AF21" s="1011">
        <f t="shared" si="25"/>
        <v>3442</v>
      </c>
      <c r="AG21" s="448">
        <f t="shared" si="25"/>
        <v>878</v>
      </c>
      <c r="AH21" s="448">
        <f t="shared" si="25"/>
        <v>878</v>
      </c>
      <c r="AI21" s="448">
        <f t="shared" si="25"/>
        <v>936</v>
      </c>
      <c r="AJ21" s="448">
        <f t="shared" si="25"/>
        <v>886</v>
      </c>
      <c r="AK21" s="1011">
        <f t="shared" si="25"/>
        <v>3578</v>
      </c>
      <c r="AL21" s="448">
        <f t="shared" si="25"/>
        <v>904</v>
      </c>
      <c r="AM21" s="448">
        <f t="shared" si="25"/>
        <v>870</v>
      </c>
      <c r="AN21" s="448">
        <f t="shared" si="25"/>
        <v>896</v>
      </c>
      <c r="AO21" s="448">
        <f t="shared" si="25"/>
        <v>968</v>
      </c>
      <c r="AP21" s="1011">
        <f t="shared" si="25"/>
        <v>3638</v>
      </c>
      <c r="AQ21" s="448">
        <f t="shared" si="25"/>
        <v>925</v>
      </c>
      <c r="AR21" s="448">
        <f t="shared" si="25"/>
        <v>993</v>
      </c>
      <c r="AS21" s="448">
        <f t="shared" si="25"/>
        <v>991</v>
      </c>
      <c r="AT21" s="448">
        <f t="shared" si="25"/>
        <v>909</v>
      </c>
      <c r="AU21" s="1011">
        <f t="shared" si="25"/>
        <v>3818</v>
      </c>
      <c r="AV21" s="448">
        <f t="shared" si="25"/>
        <v>903</v>
      </c>
      <c r="AW21" s="448">
        <f t="shared" si="25"/>
        <v>937</v>
      </c>
      <c r="AX21" s="448">
        <f t="shared" si="25"/>
        <v>920</v>
      </c>
      <c r="AY21" s="448">
        <f t="shared" si="25"/>
        <v>896</v>
      </c>
      <c r="AZ21" s="1011">
        <f t="shared" si="25"/>
        <v>3656</v>
      </c>
      <c r="BA21" s="448">
        <f t="shared" si="26" ref="BA21:BE21">INDEX(MO_II_NetII,0,COLUMN())</f>
        <v>943</v>
      </c>
      <c r="BB21" s="448">
        <f t="shared" si="26"/>
        <v>999</v>
      </c>
      <c r="BC21" s="448">
        <f>INDEX(MO_II_NetII,0,COLUMN())</f>
        <v>1004</v>
      </c>
      <c r="BD21" s="448">
        <f t="shared" si="26"/>
        <v>865</v>
      </c>
      <c r="BE21" s="1011">
        <f t="shared" si="26"/>
        <v>3811</v>
      </c>
      <c r="BF21" s="448">
        <f t="shared" si="27" ref="BF21:BJ21">INDEX(MO_II_NetII,0,COLUMN())</f>
        <v>1000</v>
      </c>
      <c r="BG21" s="448">
        <f t="shared" si="27"/>
        <v>1095</v>
      </c>
      <c r="BH21" s="757">
        <f>INDEX(MO_II_NetII,0,COLUMN())</f>
        <v>1006</v>
      </c>
      <c r="BI21" s="448">
        <f t="shared" si="27"/>
        <v>1212.912917486339</v>
      </c>
      <c r="BJ21" s="1011">
        <f t="shared" si="27"/>
        <v>4313.9129174863392</v>
      </c>
      <c r="BK21" s="448">
        <f t="shared" si="28" ref="BK21:BR21">INDEX(MO_II_NetII,0,COLUMN())</f>
        <v>802.34091698630152</v>
      </c>
      <c r="BL21" s="448">
        <f t="shared" si="28"/>
        <v>787.62408328767128</v>
      </c>
      <c r="BM21" s="448">
        <f t="shared" si="28"/>
        <v>786.0607251506849</v>
      </c>
      <c r="BN21" s="448">
        <f t="shared" si="28"/>
        <v>839.74370049863012</v>
      </c>
      <c r="BO21" s="1011">
        <f t="shared" si="28"/>
        <v>3215.7694259232876</v>
      </c>
      <c r="BP21" s="1011">
        <f t="shared" si="28"/>
        <v>3260.4782447287503</v>
      </c>
      <c r="BQ21" s="1011">
        <f t="shared" si="28"/>
        <v>3320.829441294788</v>
      </c>
      <c r="BR21" s="1011">
        <f t="shared" si="28"/>
        <v>3383.3274705324234</v>
      </c>
      <c r="BS21" s="448"/>
    </row>
    <row r="22" spans="1:71" s="40" customFormat="1" ht="15">
      <c r="A22" s="198"/>
      <c r="B22" s="199"/>
      <c r="C22" s="1011"/>
      <c r="D22" s="1011"/>
      <c r="E22" s="1011"/>
      <c r="F22" s="1011"/>
      <c r="G22" s="1011"/>
      <c r="H22" s="448"/>
      <c r="I22" s="448"/>
      <c r="J22" s="448"/>
      <c r="K22" s="448"/>
      <c r="L22" s="1011"/>
      <c r="M22" s="448"/>
      <c r="N22" s="448"/>
      <c r="O22" s="448"/>
      <c r="P22" s="448"/>
      <c r="Q22" s="1011"/>
      <c r="R22" s="448"/>
      <c r="S22" s="448"/>
      <c r="T22" s="448"/>
      <c r="U22" s="448"/>
      <c r="V22" s="1011"/>
      <c r="W22" s="448"/>
      <c r="X22" s="448"/>
      <c r="Y22" s="448"/>
      <c r="Z22" s="448"/>
      <c r="AA22" s="1011"/>
      <c r="AB22" s="448"/>
      <c r="AC22" s="448"/>
      <c r="AD22" s="448"/>
      <c r="AE22" s="448"/>
      <c r="AF22" s="1011"/>
      <c r="AG22" s="448"/>
      <c r="AH22" s="448"/>
      <c r="AI22" s="448"/>
      <c r="AJ22" s="448"/>
      <c r="AK22" s="1011"/>
      <c r="AL22" s="448"/>
      <c r="AM22" s="448"/>
      <c r="AN22" s="448"/>
      <c r="AO22" s="448"/>
      <c r="AP22" s="1011"/>
      <c r="AQ22" s="448"/>
      <c r="AR22" s="448"/>
      <c r="AS22" s="448"/>
      <c r="AT22" s="448"/>
      <c r="AU22" s="1011"/>
      <c r="AV22" s="448"/>
      <c r="AW22" s="448"/>
      <c r="AX22" s="448"/>
      <c r="AY22" s="448"/>
      <c r="AZ22" s="1011"/>
      <c r="BA22" s="448"/>
      <c r="BB22" s="448"/>
      <c r="BC22" s="448"/>
      <c r="BD22" s="448"/>
      <c r="BE22" s="1011"/>
      <c r="BF22" s="448"/>
      <c r="BG22" s="448"/>
      <c r="BH22" s="757"/>
      <c r="BI22" s="448"/>
      <c r="BJ22" s="1011"/>
      <c r="BK22" s="448"/>
      <c r="BL22" s="448"/>
      <c r="BM22" s="448"/>
      <c r="BN22" s="448"/>
      <c r="BO22" s="1011"/>
      <c r="BP22" s="1011"/>
      <c r="BQ22" s="1011"/>
      <c r="BR22" s="1011"/>
      <c r="BS22" s="448"/>
    </row>
    <row r="23" spans="1:71" s="47" customFormat="1" ht="15">
      <c r="A23" s="434" t="str">
        <f>INDEX(MO_II_NIY,0,COLUMN())</f>
        <v>Net Investment Yield, %</v>
      </c>
      <c r="B23" s="435"/>
      <c r="C23" s="1085"/>
      <c r="D23" s="1085">
        <f t="shared" si="29" ref="D23:AZ23">INDEX(MO_II_NIY,0,COLUMN())</f>
        <v>0.038311100918600058</v>
      </c>
      <c r="E23" s="1085">
        <f t="shared" si="29"/>
        <v>0.035019912236683361</v>
      </c>
      <c r="F23" s="1085">
        <f t="shared" si="29"/>
        <v>0.031951644732302623</v>
      </c>
      <c r="G23" s="1085">
        <f t="shared" si="29"/>
        <v>0.029654110421713328</v>
      </c>
      <c r="H23" s="437">
        <f t="shared" si="29"/>
        <v>0.031284606435598668</v>
      </c>
      <c r="I23" s="437">
        <f t="shared" si="29"/>
        <v>0.030602302788599347</v>
      </c>
      <c r="J23" s="437">
        <f t="shared" si="29"/>
        <v>0.02972358177657286</v>
      </c>
      <c r="K23" s="437">
        <f t="shared" si="29"/>
        <v>0.029860575049956626</v>
      </c>
      <c r="L23" s="1085">
        <f t="shared" si="29"/>
        <v>0.030356301239421693</v>
      </c>
      <c r="M23" s="437">
        <f t="shared" si="29"/>
        <v>0.030637387100911885</v>
      </c>
      <c r="N23" s="437">
        <f t="shared" si="29"/>
        <v>0.030475868099630474</v>
      </c>
      <c r="O23" s="437">
        <f t="shared" si="29"/>
        <v>0.030864071033094319</v>
      </c>
      <c r="P23" s="437">
        <f t="shared" si="29"/>
        <v>0.030968514914658754</v>
      </c>
      <c r="Q23" s="1085">
        <f t="shared" si="29"/>
        <v>0.030736494104060708</v>
      </c>
      <c r="R23" s="437">
        <f t="shared" si="29"/>
        <v>0.030332687395648161</v>
      </c>
      <c r="S23" s="437">
        <f t="shared" si="29"/>
        <v>0.028359504311021334</v>
      </c>
      <c r="T23" s="437">
        <f t="shared" si="29"/>
        <v>0.027239055834354525</v>
      </c>
      <c r="U23" s="437">
        <f t="shared" si="29"/>
        <v>0.02750663219717496</v>
      </c>
      <c r="V23" s="1085">
        <f t="shared" si="29"/>
        <v>0.028292729769184708</v>
      </c>
      <c r="W23" s="437">
        <f t="shared" si="29"/>
        <v>0.028271388157252952</v>
      </c>
      <c r="X23" s="437">
        <f t="shared" si="29"/>
        <v>0.027502357002634866</v>
      </c>
      <c r="Y23" s="437">
        <f t="shared" si="29"/>
        <v>0.027360853999898696</v>
      </c>
      <c r="Z23" s="437">
        <f t="shared" si="29"/>
        <v>0.027135734913008729</v>
      </c>
      <c r="AA23" s="1085">
        <f t="shared" si="29"/>
        <v>0.027557298159907314</v>
      </c>
      <c r="AB23" s="437">
        <f t="shared" si="29"/>
        <v>0.027291474881310826</v>
      </c>
      <c r="AC23" s="437">
        <f t="shared" si="29"/>
        <v>0.027368036945936536</v>
      </c>
      <c r="AD23" s="437">
        <f t="shared" si="29"/>
        <v>0.028192800222026627</v>
      </c>
      <c r="AE23" s="437">
        <f t="shared" si="29"/>
        <v>0.028542736308273912</v>
      </c>
      <c r="AF23" s="1085">
        <f t="shared" si="29"/>
        <v>0.02784560498274375</v>
      </c>
      <c r="AG23" s="437">
        <f t="shared" si="29"/>
        <v>0.028548801194440435</v>
      </c>
      <c r="AH23" s="437">
        <f t="shared" si="29"/>
        <v>0.026972996366847565</v>
      </c>
      <c r="AI23" s="437">
        <f t="shared" si="29"/>
        <v>0.027622647660370477</v>
      </c>
      <c r="AJ23" s="437">
        <f t="shared" si="29"/>
        <v>0.026184377726105532</v>
      </c>
      <c r="AK23" s="1085">
        <f t="shared" si="29"/>
        <v>0.027307215827809872</v>
      </c>
      <c r="AL23" s="437">
        <f t="shared" si="29"/>
        <v>0.027335915642546119</v>
      </c>
      <c r="AM23" s="437">
        <f t="shared" si="29"/>
        <v>0.025965189586982081</v>
      </c>
      <c r="AN23" s="437">
        <f t="shared" si="29"/>
        <v>0.025711464517605049</v>
      </c>
      <c r="AO23" s="437">
        <f t="shared" si="29"/>
        <v>0.027007388520426754</v>
      </c>
      <c r="AP23" s="1085">
        <f t="shared" si="29"/>
        <v>0.026503139463618298</v>
      </c>
      <c r="AQ23" s="437">
        <f t="shared" si="29"/>
        <v>0.02651992244125459</v>
      </c>
      <c r="AR23" s="437">
        <f t="shared" si="29"/>
        <v>0.028496289161169554</v>
      </c>
      <c r="AS23" s="437">
        <f t="shared" si="29"/>
        <v>0.027979936966144522</v>
      </c>
      <c r="AT23" s="437">
        <f t="shared" si="29"/>
        <v>0.025970904070978448</v>
      </c>
      <c r="AU23" s="1085">
        <f t="shared" si="29"/>
        <v>0.027243207860210009</v>
      </c>
      <c r="AV23" s="437">
        <f t="shared" si="29"/>
        <v>0.027509129856163293</v>
      </c>
      <c r="AW23" s="437">
        <f t="shared" si="29"/>
        <v>0.030734416912381143</v>
      </c>
      <c r="AX23" s="437">
        <f t="shared" si="29"/>
        <v>0.03229231177563479</v>
      </c>
      <c r="AY23" s="437">
        <f t="shared" si="29"/>
        <v>0.031842618946358273</v>
      </c>
      <c r="AZ23" s="1085">
        <f t="shared" si="29"/>
        <v>0.030481754439183596</v>
      </c>
      <c r="BA23" s="437">
        <f t="shared" si="30" ref="BA23:BE23">INDEX(MO_II_NIY,0,COLUMN())</f>
        <v>0.033234603305645476</v>
      </c>
      <c r="BB23" s="437">
        <f t="shared" si="30"/>
        <v>0.035082150835497539</v>
      </c>
      <c r="BC23" s="437">
        <f>INDEX(MO_II_NIY,0,COLUMN())</f>
        <v>0.036619772918635669</v>
      </c>
      <c r="BD23" s="437">
        <f t="shared" si="30"/>
        <v>0.03191505062132885</v>
      </c>
      <c r="BE23" s="1085">
        <f t="shared" si="30"/>
        <v>0.034219225329373097</v>
      </c>
      <c r="BF23" s="437">
        <f t="shared" si="31" ref="BF23:BJ23">INDEX(MO_II_NIY,0,COLUMN())</f>
        <v>0.037262618792414222</v>
      </c>
      <c r="BG23" s="437">
        <f t="shared" si="31"/>
        <v>0.042308750633477922</v>
      </c>
      <c r="BH23" s="776">
        <f>INDEX(MO_II_NIY,0,COLUMN())</f>
        <v>0.037834829548233667</v>
      </c>
      <c r="BI23" s="437">
        <f t="shared" si="31"/>
        <v>0.043461385236167986</v>
      </c>
      <c r="BJ23" s="1085">
        <f t="shared" si="31"/>
        <v>0.040236168752490087</v>
      </c>
      <c r="BK23" s="437">
        <f t="shared" si="32" ref="BK23:BR23">INDEX(MO_II_NIY,0,COLUMN())</f>
        <v>0.029358214998636799</v>
      </c>
      <c r="BL23" s="437">
        <f t="shared" si="32"/>
        <v>0.029503191056050978</v>
      </c>
      <c r="BM23" s="437">
        <f t="shared" si="32"/>
        <v>0.028730088795281616</v>
      </c>
      <c r="BN23" s="437">
        <f t="shared" si="32"/>
        <v>0.029324156657517579</v>
      </c>
      <c r="BO23" s="1085">
        <f t="shared" si="32"/>
        <v>0.029228326373868293</v>
      </c>
      <c r="BP23" s="1085">
        <f t="shared" si="32"/>
        <v>0.028212770738643634</v>
      </c>
      <c r="BQ23" s="1085">
        <f t="shared" si="32"/>
        <v>0.028290716410386715</v>
      </c>
      <c r="BR23" s="1085">
        <f t="shared" si="32"/>
        <v>0.028371336295375235</v>
      </c>
      <c r="BS23" s="437"/>
    </row>
    <row r="24" spans="1:71" ht="15">
      <c r="A24" s="203"/>
      <c r="B24" s="204"/>
      <c r="C24" s="1084"/>
      <c r="D24" s="1084"/>
      <c r="E24" s="1084"/>
      <c r="F24" s="1084"/>
      <c r="G24" s="1084"/>
      <c r="H24" s="144"/>
      <c r="I24" s="144"/>
      <c r="J24" s="144"/>
      <c r="K24" s="144"/>
      <c r="L24" s="1084"/>
      <c r="M24" s="144"/>
      <c r="N24" s="144"/>
      <c r="O24" s="144"/>
      <c r="P24" s="144"/>
      <c r="Q24" s="1084"/>
      <c r="R24" s="144"/>
      <c r="S24" s="144"/>
      <c r="T24" s="144"/>
      <c r="U24" s="144"/>
      <c r="V24" s="1084"/>
      <c r="W24" s="144"/>
      <c r="X24" s="144"/>
      <c r="Y24" s="144"/>
      <c r="Z24" s="144"/>
      <c r="AA24" s="1084"/>
      <c r="AB24" s="144"/>
      <c r="AC24" s="144"/>
      <c r="AD24" s="144"/>
      <c r="AE24" s="144"/>
      <c r="AF24" s="1084"/>
      <c r="AG24" s="144"/>
      <c r="AH24" s="144"/>
      <c r="AI24" s="144"/>
      <c r="AJ24" s="144"/>
      <c r="AK24" s="1084"/>
      <c r="AL24" s="144"/>
      <c r="AM24" s="144"/>
      <c r="AN24" s="144"/>
      <c r="AO24" s="144"/>
      <c r="AP24" s="1084"/>
      <c r="AQ24" s="144"/>
      <c r="AR24" s="144"/>
      <c r="AS24" s="144"/>
      <c r="AT24" s="144"/>
      <c r="AU24" s="1084"/>
      <c r="AV24" s="144"/>
      <c r="AW24" s="144"/>
      <c r="AX24" s="144"/>
      <c r="AY24" s="144"/>
      <c r="AZ24" s="1084"/>
      <c r="BA24" s="144"/>
      <c r="BB24" s="144"/>
      <c r="BC24" s="144"/>
      <c r="BD24" s="144"/>
      <c r="BE24" s="1084"/>
      <c r="BF24" s="144"/>
      <c r="BG24" s="144"/>
      <c r="BH24" s="775"/>
      <c r="BI24" s="144"/>
      <c r="BJ24" s="1084"/>
      <c r="BK24" s="144"/>
      <c r="BL24" s="144"/>
      <c r="BM24" s="144"/>
      <c r="BN24" s="144"/>
      <c r="BO24" s="1084"/>
      <c r="BP24" s="1084"/>
      <c r="BQ24" s="1084"/>
      <c r="BR24" s="1084"/>
      <c r="BS24" s="144"/>
    </row>
    <row r="25" spans="1:71" ht="15">
      <c r="A25" s="131" t="s">
        <v>253</v>
      </c>
      <c r="B25" s="819"/>
      <c r="C25" s="867"/>
      <c r="D25" s="867"/>
      <c r="E25" s="867"/>
      <c r="F25" s="867"/>
      <c r="G25" s="867"/>
      <c r="H25" s="867"/>
      <c r="I25" s="867"/>
      <c r="J25" s="867"/>
      <c r="K25" s="867"/>
      <c r="L25" s="867"/>
      <c r="M25" s="867"/>
      <c r="N25" s="867"/>
      <c r="O25" s="867"/>
      <c r="P25" s="867"/>
      <c r="Q25" s="867"/>
      <c r="R25" s="867"/>
      <c r="S25" s="867"/>
      <c r="T25" s="867"/>
      <c r="U25" s="867"/>
      <c r="V25" s="867"/>
      <c r="W25" s="867"/>
      <c r="X25" s="867"/>
      <c r="Y25" s="867"/>
      <c r="Z25" s="867"/>
      <c r="AA25" s="867"/>
      <c r="AB25" s="867"/>
      <c r="AC25" s="867"/>
      <c r="AD25" s="867"/>
      <c r="AE25" s="867"/>
      <c r="AF25" s="867"/>
      <c r="AG25" s="867"/>
      <c r="AH25" s="867"/>
      <c r="AI25" s="867"/>
      <c r="AJ25" s="867"/>
      <c r="AK25" s="867"/>
      <c r="AL25" s="867"/>
      <c r="AM25" s="867"/>
      <c r="AN25" s="867"/>
      <c r="AO25" s="867"/>
      <c r="AP25" s="867"/>
      <c r="AQ25" s="867"/>
      <c r="AR25" s="867"/>
      <c r="AS25" s="867"/>
      <c r="AT25" s="867"/>
      <c r="AU25" s="867"/>
      <c r="AV25" s="867"/>
      <c r="AW25" s="867"/>
      <c r="AX25" s="867"/>
      <c r="AY25" s="867"/>
      <c r="AZ25" s="867"/>
      <c r="BA25" s="867"/>
      <c r="BB25" s="867"/>
      <c r="BC25" s="867"/>
      <c r="BD25" s="867"/>
      <c r="BE25" s="867"/>
      <c r="BF25" s="867"/>
      <c r="BG25" s="867"/>
      <c r="BH25" s="868"/>
      <c r="BI25" s="867"/>
      <c r="BJ25" s="867"/>
      <c r="BK25" s="867"/>
      <c r="BL25" s="867"/>
      <c r="BM25" s="867"/>
      <c r="BN25" s="867"/>
      <c r="BO25" s="867"/>
      <c r="BP25" s="867"/>
      <c r="BQ25" s="867"/>
      <c r="BR25" s="867"/>
      <c r="BS25" s="821"/>
    </row>
    <row r="26" spans="1:71" ht="15">
      <c r="A26" s="205" t="str">
        <f>INDEX(MO_RIS_Premiums,0,COLUMN())</f>
        <v>Premiums</v>
      </c>
      <c r="B26" s="202"/>
      <c r="C26" s="1003">
        <f t="shared" si="33" ref="C26:AZ26">INDEX(MO_RIS_Premiums,0,COLUMN())</f>
        <v>16621</v>
      </c>
      <c r="D26" s="1003">
        <f t="shared" si="33"/>
        <v>18073</v>
      </c>
      <c r="E26" s="1003">
        <f t="shared" si="33"/>
        <v>20362</v>
      </c>
      <c r="F26" s="1003">
        <f t="shared" si="33"/>
        <v>22148</v>
      </c>
      <c r="G26" s="1003">
        <f t="shared" si="33"/>
        <v>20135</v>
      </c>
      <c r="H26" s="139">
        <f t="shared" si="33"/>
        <v>4854</v>
      </c>
      <c r="I26" s="139">
        <f t="shared" si="33"/>
        <v>4888</v>
      </c>
      <c r="J26" s="139">
        <f t="shared" si="33"/>
        <v>4841</v>
      </c>
      <c r="K26" s="139">
        <f t="shared" si="33"/>
        <v>4489</v>
      </c>
      <c r="L26" s="1003">
        <f t="shared" si="33"/>
        <v>19072</v>
      </c>
      <c r="M26" s="139">
        <f t="shared" si="33"/>
        <v>4432</v>
      </c>
      <c r="N26" s="139">
        <f t="shared" si="33"/>
        <v>4364</v>
      </c>
      <c r="O26" s="139">
        <f t="shared" si="33"/>
        <v>4380</v>
      </c>
      <c r="P26" s="139">
        <f t="shared" si="33"/>
        <v>4394</v>
      </c>
      <c r="Q26" s="1003">
        <f t="shared" si="33"/>
        <v>17570</v>
      </c>
      <c r="R26" s="139">
        <f t="shared" si="33"/>
        <v>4602</v>
      </c>
      <c r="S26" s="139">
        <f t="shared" si="33"/>
        <v>4823</v>
      </c>
      <c r="T26" s="139">
        <f t="shared" si="33"/>
        <v>5022</v>
      </c>
      <c r="U26" s="139">
        <f t="shared" si="33"/>
        <v>4778</v>
      </c>
      <c r="V26" s="1003">
        <f t="shared" si="33"/>
        <v>19225</v>
      </c>
      <c r="W26" s="139">
        <f t="shared" si="33"/>
        <v>4638</v>
      </c>
      <c r="X26" s="139">
        <f t="shared" si="33"/>
        <v>4665</v>
      </c>
      <c r="Y26" s="139">
        <f t="shared" si="33"/>
        <v>4648</v>
      </c>
      <c r="Z26" s="139">
        <f t="shared" si="33"/>
        <v>4580</v>
      </c>
      <c r="AA26" s="1003">
        <f t="shared" si="33"/>
        <v>18531</v>
      </c>
      <c r="AB26" s="139">
        <f t="shared" si="33"/>
        <v>4745</v>
      </c>
      <c r="AC26" s="139">
        <f t="shared" si="33"/>
        <v>4706</v>
      </c>
      <c r="AD26" s="139">
        <f t="shared" si="33"/>
        <v>4636</v>
      </c>
      <c r="AE26" s="139">
        <f t="shared" si="33"/>
        <v>4590</v>
      </c>
      <c r="AF26" s="1003">
        <f t="shared" si="33"/>
        <v>18677</v>
      </c>
      <c r="AG26" s="139">
        <f t="shared" si="33"/>
        <v>4691</v>
      </c>
      <c r="AH26" s="139">
        <f t="shared" si="33"/>
        <v>4681</v>
      </c>
      <c r="AI26" s="139">
        <f t="shared" si="33"/>
        <v>4736</v>
      </c>
      <c r="AJ26" s="139">
        <f t="shared" si="33"/>
        <v>4672</v>
      </c>
      <c r="AK26" s="1003">
        <f t="shared" si="33"/>
        <v>18780</v>
      </c>
      <c r="AL26" s="139">
        <f t="shared" si="33"/>
        <v>4681</v>
      </c>
      <c r="AM26" s="139">
        <f t="shared" si="33"/>
        <v>4664</v>
      </c>
      <c r="AN26" s="139">
        <f t="shared" si="33"/>
        <v>4623</v>
      </c>
      <c r="AO26" s="139">
        <f t="shared" si="33"/>
        <v>4654</v>
      </c>
      <c r="AP26" s="1003">
        <f t="shared" si="33"/>
        <v>18622</v>
      </c>
      <c r="AQ26" s="139">
        <f t="shared" si="33"/>
        <v>4593</v>
      </c>
      <c r="AR26" s="139">
        <f t="shared" si="33"/>
        <v>4441</v>
      </c>
      <c r="AS26" s="139">
        <f t="shared" si="33"/>
        <v>4372</v>
      </c>
      <c r="AT26" s="139">
        <f t="shared" si="33"/>
        <v>4241</v>
      </c>
      <c r="AU26" s="1003">
        <f t="shared" si="33"/>
        <v>17647</v>
      </c>
      <c r="AV26" s="139">
        <f t="shared" si="33"/>
        <v>4079</v>
      </c>
      <c r="AW26" s="139">
        <f t="shared" si="33"/>
        <v>3764</v>
      </c>
      <c r="AX26" s="139">
        <f t="shared" si="33"/>
        <v>3535</v>
      </c>
      <c r="AY26" s="139">
        <f t="shared" si="33"/>
        <v>3523</v>
      </c>
      <c r="AZ26" s="1003">
        <f t="shared" si="33"/>
        <v>14901</v>
      </c>
      <c r="BA26" s="139">
        <f t="shared" si="34" ref="BA26:BE26">INDEX(MO_RIS_Premiums,0,COLUMN())</f>
        <v>3688</v>
      </c>
      <c r="BB26" s="139">
        <f t="shared" si="34"/>
        <v>3573</v>
      </c>
      <c r="BC26" s="139">
        <f>INDEX(MO_RIS_Premiums,0,COLUMN())</f>
        <v>3476</v>
      </c>
      <c r="BD26" s="139">
        <f t="shared" si="34"/>
        <v>3386</v>
      </c>
      <c r="BE26" s="1003">
        <f t="shared" si="34"/>
        <v>14123</v>
      </c>
      <c r="BF26" s="139">
        <f t="shared" si="35" ref="BF26:BJ26">INDEX(MO_RIS_Premiums,0,COLUMN())</f>
        <v>3456</v>
      </c>
      <c r="BG26" s="139">
        <f t="shared" si="35"/>
        <v>3325</v>
      </c>
      <c r="BH26" s="750">
        <f>INDEX(MO_RIS_Premiums,0,COLUMN())</f>
        <v>3328</v>
      </c>
      <c r="BI26" s="139">
        <f t="shared" si="35"/>
        <v>3717.12</v>
      </c>
      <c r="BJ26" s="1003">
        <f t="shared" si="35"/>
        <v>13826.12</v>
      </c>
      <c r="BK26" s="139">
        <f t="shared" si="36" ref="BK26:BR26">INDEX(MO_RIS_Premiums,0,COLUMN())</f>
        <v>3257.5749999999998</v>
      </c>
      <c r="BL26" s="139">
        <f t="shared" si="36"/>
        <v>3244.4250000000002</v>
      </c>
      <c r="BM26" s="139">
        <f t="shared" si="36"/>
        <v>3481.6449999999995</v>
      </c>
      <c r="BN26" s="139">
        <f t="shared" si="36"/>
        <v>3967.2956000000004</v>
      </c>
      <c r="BO26" s="1003">
        <f t="shared" si="36"/>
        <v>13950.940600000002</v>
      </c>
      <c r="BP26" s="1003">
        <f t="shared" si="36"/>
        <v>14059.063203</v>
      </c>
      <c r="BQ26" s="1003">
        <f t="shared" si="36"/>
        <v>14168.120098014999</v>
      </c>
      <c r="BR26" s="1003">
        <f t="shared" si="36"/>
        <v>14278.119893295074</v>
      </c>
      <c r="BS26" s="139"/>
    </row>
    <row r="27" spans="1:71" ht="15">
      <c r="A27" s="205" t="str">
        <f>INDEX(MO_RIS_NetII,0,COLUMN())</f>
        <v>Net Investment Income</v>
      </c>
      <c r="B27" s="202"/>
      <c r="C27" s="1003">
        <f t="shared" si="37" ref="C27:AZ27">INDEX(MO_RIS_NetII,0,COLUMN())</f>
        <v>2765</v>
      </c>
      <c r="D27" s="1003">
        <f t="shared" si="37"/>
        <v>3007</v>
      </c>
      <c r="E27" s="1003">
        <f t="shared" si="37"/>
        <v>3280</v>
      </c>
      <c r="F27" s="1003">
        <f t="shared" si="37"/>
        <v>3473</v>
      </c>
      <c r="G27" s="1003">
        <f t="shared" si="37"/>
        <v>3293</v>
      </c>
      <c r="H27" s="139">
        <f t="shared" si="37"/>
        <v>827</v>
      </c>
      <c r="I27" s="139">
        <f t="shared" si="37"/>
        <v>843</v>
      </c>
      <c r="J27" s="139">
        <f t="shared" si="37"/>
        <v>841</v>
      </c>
      <c r="K27" s="139">
        <f t="shared" si="37"/>
        <v>808</v>
      </c>
      <c r="L27" s="1003">
        <f t="shared" si="37"/>
        <v>3319</v>
      </c>
      <c r="M27" s="139">
        <f t="shared" si="37"/>
        <v>782</v>
      </c>
      <c r="N27" s="139">
        <f t="shared" si="37"/>
        <v>777</v>
      </c>
      <c r="O27" s="139">
        <f t="shared" si="37"/>
        <v>784</v>
      </c>
      <c r="P27" s="139">
        <f t="shared" si="37"/>
        <v>792</v>
      </c>
      <c r="Q27" s="1003">
        <f t="shared" si="37"/>
        <v>3135</v>
      </c>
      <c r="R27" s="139">
        <f t="shared" si="37"/>
        <v>801</v>
      </c>
      <c r="S27" s="139">
        <f t="shared" si="37"/>
        <v>822</v>
      </c>
      <c r="T27" s="139">
        <f t="shared" si="37"/>
        <v>842</v>
      </c>
      <c r="U27" s="139">
        <f t="shared" si="37"/>
        <v>813</v>
      </c>
      <c r="V27" s="1003">
        <f t="shared" si="37"/>
        <v>3278</v>
      </c>
      <c r="W27" s="139">
        <f t="shared" si="37"/>
        <v>794</v>
      </c>
      <c r="X27" s="139">
        <f t="shared" si="37"/>
        <v>802</v>
      </c>
      <c r="Y27" s="139">
        <f t="shared" si="37"/>
        <v>811</v>
      </c>
      <c r="Z27" s="139">
        <f t="shared" si="37"/>
        <v>813</v>
      </c>
      <c r="AA27" s="1003">
        <f t="shared" si="37"/>
        <v>3220</v>
      </c>
      <c r="AB27" s="139">
        <f t="shared" si="37"/>
        <v>837</v>
      </c>
      <c r="AC27" s="139">
        <f t="shared" si="37"/>
        <v>862</v>
      </c>
      <c r="AD27" s="139">
        <f t="shared" si="37"/>
        <v>870</v>
      </c>
      <c r="AE27" s="139">
        <f t="shared" si="37"/>
        <v>873</v>
      </c>
      <c r="AF27" s="1003">
        <f t="shared" si="37"/>
        <v>3442</v>
      </c>
      <c r="AG27" s="139">
        <f t="shared" si="37"/>
        <v>878</v>
      </c>
      <c r="AH27" s="139">
        <f t="shared" si="37"/>
        <v>878</v>
      </c>
      <c r="AI27" s="139">
        <f t="shared" si="37"/>
        <v>936</v>
      </c>
      <c r="AJ27" s="139">
        <f t="shared" si="37"/>
        <v>886</v>
      </c>
      <c r="AK27" s="1003">
        <f t="shared" si="37"/>
        <v>3578</v>
      </c>
      <c r="AL27" s="139">
        <f t="shared" si="37"/>
        <v>904</v>
      </c>
      <c r="AM27" s="139">
        <f t="shared" si="37"/>
        <v>870</v>
      </c>
      <c r="AN27" s="139">
        <f t="shared" si="37"/>
        <v>896</v>
      </c>
      <c r="AO27" s="139">
        <f t="shared" si="37"/>
        <v>968</v>
      </c>
      <c r="AP27" s="1003">
        <f t="shared" si="37"/>
        <v>3638</v>
      </c>
      <c r="AQ27" s="139">
        <f t="shared" si="37"/>
        <v>925</v>
      </c>
      <c r="AR27" s="139">
        <f t="shared" si="37"/>
        <v>993</v>
      </c>
      <c r="AS27" s="139">
        <f t="shared" si="37"/>
        <v>991</v>
      </c>
      <c r="AT27" s="139">
        <f t="shared" si="37"/>
        <v>909</v>
      </c>
      <c r="AU27" s="1003">
        <f t="shared" si="37"/>
        <v>3818</v>
      </c>
      <c r="AV27" s="139">
        <f t="shared" si="37"/>
        <v>903</v>
      </c>
      <c r="AW27" s="139">
        <f t="shared" si="37"/>
        <v>937</v>
      </c>
      <c r="AX27" s="139">
        <f t="shared" si="37"/>
        <v>920</v>
      </c>
      <c r="AY27" s="139">
        <f t="shared" si="37"/>
        <v>896</v>
      </c>
      <c r="AZ27" s="1003">
        <f t="shared" si="37"/>
        <v>3656</v>
      </c>
      <c r="BA27" s="139">
        <f t="shared" si="38" ref="BA27:BE27">INDEX(MO_RIS_NetII,0,COLUMN())</f>
        <v>943</v>
      </c>
      <c r="BB27" s="139">
        <f t="shared" si="38"/>
        <v>999</v>
      </c>
      <c r="BC27" s="139">
        <f>INDEX(MO_RIS_NetII,0,COLUMN())</f>
        <v>1004</v>
      </c>
      <c r="BD27" s="139">
        <f t="shared" si="38"/>
        <v>865</v>
      </c>
      <c r="BE27" s="1003">
        <f t="shared" si="38"/>
        <v>3811</v>
      </c>
      <c r="BF27" s="139">
        <f t="shared" si="39" ref="BF27:BJ27">INDEX(MO_RIS_NetII,0,COLUMN())</f>
        <v>1000</v>
      </c>
      <c r="BG27" s="139">
        <f t="shared" si="39"/>
        <v>1095</v>
      </c>
      <c r="BH27" s="750">
        <f>INDEX(MO_RIS_NetII,0,COLUMN())</f>
        <v>1006</v>
      </c>
      <c r="BI27" s="139">
        <f t="shared" si="39"/>
        <v>1212.912917486339</v>
      </c>
      <c r="BJ27" s="1003">
        <f t="shared" si="39"/>
        <v>4313.9129174863392</v>
      </c>
      <c r="BK27" s="139">
        <f t="shared" si="40" ref="BK27:BR27">INDEX(MO_RIS_NetII,0,COLUMN())</f>
        <v>802.34091698630152</v>
      </c>
      <c r="BL27" s="139">
        <f t="shared" si="40"/>
        <v>787.62408328767128</v>
      </c>
      <c r="BM27" s="139">
        <f t="shared" si="40"/>
        <v>786.0607251506849</v>
      </c>
      <c r="BN27" s="139">
        <f t="shared" si="40"/>
        <v>839.74370049863012</v>
      </c>
      <c r="BO27" s="1003">
        <f t="shared" si="40"/>
        <v>3215.7694259232876</v>
      </c>
      <c r="BP27" s="1003">
        <f t="shared" si="40"/>
        <v>3260.4782447287503</v>
      </c>
      <c r="BQ27" s="1003">
        <f t="shared" si="40"/>
        <v>3320.829441294788</v>
      </c>
      <c r="BR27" s="1003">
        <f t="shared" si="40"/>
        <v>3383.3274705324234</v>
      </c>
      <c r="BS27" s="139"/>
    </row>
    <row r="28" spans="1:71" ht="15">
      <c r="A28" s="205" t="str">
        <f>INDEX(MO_RIS_NetIG,0,COLUMN())</f>
        <v>Net Investment Gains</v>
      </c>
      <c r="B28" s="202"/>
      <c r="C28" s="1003">
        <f t="shared" si="41" ref="C28:AZ28">INDEX(MO_RIS_NetIG,0,COLUMN())</f>
        <v>-1212</v>
      </c>
      <c r="D28" s="1003">
        <f t="shared" si="41"/>
        <v>-422</v>
      </c>
      <c r="E28" s="1003">
        <f t="shared" si="41"/>
        <v>-1552</v>
      </c>
      <c r="F28" s="1003">
        <f t="shared" si="41"/>
        <v>-349</v>
      </c>
      <c r="G28" s="1003">
        <f t="shared" si="41"/>
        <v>399</v>
      </c>
      <c r="H28" s="139">
        <f t="shared" si="41"/>
        <v>-46</v>
      </c>
      <c r="I28" s="139">
        <f t="shared" si="41"/>
        <v>102</v>
      </c>
      <c r="J28" s="139">
        <f t="shared" si="41"/>
        <v>16</v>
      </c>
      <c r="K28" s="139">
        <f t="shared" si="41"/>
        <v>143</v>
      </c>
      <c r="L28" s="1003">
        <f t="shared" si="41"/>
        <v>215</v>
      </c>
      <c r="M28" s="139">
        <f t="shared" si="41"/>
        <v>13</v>
      </c>
      <c r="N28" s="139">
        <f t="shared" si="41"/>
        <v>127</v>
      </c>
      <c r="O28" s="139">
        <f t="shared" si="41"/>
        <v>-114</v>
      </c>
      <c r="P28" s="139">
        <f t="shared" si="41"/>
        <v>114</v>
      </c>
      <c r="Q28" s="1003">
        <f t="shared" si="41"/>
        <v>140</v>
      </c>
      <c r="R28" s="139">
        <f t="shared" si="41"/>
        <v>30</v>
      </c>
      <c r="S28" s="139">
        <f t="shared" si="41"/>
        <v>-187</v>
      </c>
      <c r="T28" s="139">
        <f t="shared" si="41"/>
        <v>-146</v>
      </c>
      <c r="U28" s="139">
        <f t="shared" si="41"/>
        <v>180</v>
      </c>
      <c r="V28" s="1003">
        <f t="shared" si="41"/>
        <v>-123</v>
      </c>
      <c r="W28" s="139">
        <f t="shared" si="41"/>
        <v>-140</v>
      </c>
      <c r="X28" s="139">
        <f t="shared" si="41"/>
        <v>-56</v>
      </c>
      <c r="Y28" s="139">
        <f t="shared" si="41"/>
        <v>30</v>
      </c>
      <c r="Z28" s="139">
        <f t="shared" si="41"/>
        <v>15</v>
      </c>
      <c r="AA28" s="1003">
        <f t="shared" si="41"/>
        <v>-151</v>
      </c>
      <c r="AB28" s="139">
        <f t="shared" si="41"/>
        <v>-134</v>
      </c>
      <c r="AC28" s="139">
        <f t="shared" si="41"/>
        <v>3</v>
      </c>
      <c r="AD28" s="139">
        <f t="shared" si="41"/>
        <v>56</v>
      </c>
      <c r="AE28" s="139">
        <f t="shared" si="41"/>
        <v>-355</v>
      </c>
      <c r="AF28" s="1003">
        <f t="shared" si="41"/>
        <v>-430</v>
      </c>
      <c r="AG28" s="139">
        <f t="shared" si="41"/>
        <v>71</v>
      </c>
      <c r="AH28" s="139">
        <f t="shared" si="41"/>
        <v>-66</v>
      </c>
      <c r="AI28" s="139">
        <f t="shared" si="41"/>
        <v>-153</v>
      </c>
      <c r="AJ28" s="139">
        <f t="shared" si="41"/>
        <v>13</v>
      </c>
      <c r="AK28" s="1003">
        <f t="shared" si="41"/>
        <v>-135</v>
      </c>
      <c r="AL28" s="139">
        <f t="shared" si="41"/>
        <v>-463</v>
      </c>
      <c r="AM28" s="139">
        <f t="shared" si="41"/>
        <v>-170</v>
      </c>
      <c r="AN28" s="139">
        <f t="shared" si="41"/>
        <v>108</v>
      </c>
      <c r="AO28" s="139">
        <f t="shared" si="41"/>
        <v>255</v>
      </c>
      <c r="AP28" s="1003">
        <f t="shared" si="41"/>
        <v>-270</v>
      </c>
      <c r="AQ28" s="139">
        <f t="shared" si="41"/>
        <v>307</v>
      </c>
      <c r="AR28" s="139">
        <f t="shared" si="41"/>
        <v>89</v>
      </c>
      <c r="AS28" s="139">
        <f t="shared" si="41"/>
        <v>-171</v>
      </c>
      <c r="AT28" s="139">
        <f t="shared" si="41"/>
        <v>243</v>
      </c>
      <c r="AU28" s="1003">
        <f t="shared" si="41"/>
        <v>468</v>
      </c>
      <c r="AV28" s="139">
        <f t="shared" si="41"/>
        <v>122</v>
      </c>
      <c r="AW28" s="139">
        <f t="shared" si="41"/>
        <v>564</v>
      </c>
      <c r="AX28" s="139">
        <f t="shared" si="41"/>
        <v>199</v>
      </c>
      <c r="AY28" s="139">
        <f t="shared" si="41"/>
        <v>-522</v>
      </c>
      <c r="AZ28" s="1003">
        <f t="shared" si="41"/>
        <v>363</v>
      </c>
      <c r="BA28" s="139">
        <f t="shared" si="42" ref="BA28:BE28">INDEX(MO_RIS_NetIG,0,COLUMN())</f>
        <v>123</v>
      </c>
      <c r="BB28" s="139">
        <f t="shared" si="42"/>
        <v>555</v>
      </c>
      <c r="BC28" s="139">
        <f>INDEX(MO_RIS_NetIG,0,COLUMN())</f>
        <v>423</v>
      </c>
      <c r="BD28" s="139">
        <f t="shared" si="42"/>
        <v>-511</v>
      </c>
      <c r="BE28" s="1003">
        <f t="shared" si="42"/>
        <v>590</v>
      </c>
      <c r="BF28" s="139">
        <f t="shared" si="43" ref="BF28:BJ28">INDEX(MO_RIS_NetIG,0,COLUMN())</f>
        <v>951</v>
      </c>
      <c r="BG28" s="139">
        <f t="shared" si="43"/>
        <v>696</v>
      </c>
      <c r="BH28" s="750">
        <f>INDEX(MO_RIS_NetIG,0,COLUMN())</f>
        <v>-1408</v>
      </c>
      <c r="BI28" s="139">
        <f t="shared" si="43"/>
        <v>20</v>
      </c>
      <c r="BJ28" s="1003">
        <f t="shared" si="43"/>
        <v>259</v>
      </c>
      <c r="BK28" s="139">
        <f t="shared" si="44" ref="BK28:BR28">INDEX(MO_RIS_NetIG,0,COLUMN())</f>
        <v>20</v>
      </c>
      <c r="BL28" s="139">
        <f t="shared" si="44"/>
        <v>20</v>
      </c>
      <c r="BM28" s="139">
        <f t="shared" si="44"/>
        <v>20</v>
      </c>
      <c r="BN28" s="139">
        <f t="shared" si="44"/>
        <v>20</v>
      </c>
      <c r="BO28" s="1003">
        <f t="shared" si="44"/>
        <v>80</v>
      </c>
      <c r="BP28" s="1003">
        <f t="shared" si="44"/>
        <v>80</v>
      </c>
      <c r="BQ28" s="1003">
        <f t="shared" si="44"/>
        <v>80</v>
      </c>
      <c r="BR28" s="1003">
        <f t="shared" si="44"/>
        <v>80</v>
      </c>
      <c r="BS28" s="139"/>
    </row>
    <row r="29" spans="1:71" ht="15">
      <c r="A29" s="344" t="str">
        <f>INDEX(MO_RIS_OtherIncome,0,COLUMN())</f>
        <v>Other Income</v>
      </c>
      <c r="B29" s="345"/>
      <c r="C29" s="1005">
        <f t="shared" si="45" ref="C29:AZ29">INDEX(MO_RIS_OtherIncome,0,COLUMN())</f>
        <v>80</v>
      </c>
      <c r="D29" s="1005">
        <f t="shared" si="45"/>
        <v>74</v>
      </c>
      <c r="E29" s="1005">
        <f t="shared" si="45"/>
        <v>81</v>
      </c>
      <c r="F29" s="1005">
        <f t="shared" si="45"/>
        <v>92</v>
      </c>
      <c r="G29" s="1005">
        <f t="shared" si="45"/>
        <v>112</v>
      </c>
      <c r="H29" s="347">
        <f t="shared" si="45"/>
        <v>5</v>
      </c>
      <c r="I29" s="347">
        <f t="shared" si="45"/>
        <v>5</v>
      </c>
      <c r="J29" s="347">
        <f t="shared" si="45"/>
        <v>38</v>
      </c>
      <c r="K29" s="347">
        <f t="shared" si="45"/>
        <v>74</v>
      </c>
      <c r="L29" s="1005">
        <f t="shared" si="45"/>
        <v>122</v>
      </c>
      <c r="M29" s="347">
        <f t="shared" si="45"/>
        <v>-1</v>
      </c>
      <c r="N29" s="347">
        <f t="shared" si="45"/>
        <v>19</v>
      </c>
      <c r="O29" s="347">
        <f t="shared" si="45"/>
        <v>-10</v>
      </c>
      <c r="P29" s="347">
        <f t="shared" si="45"/>
        <v>19</v>
      </c>
      <c r="Q29" s="1005">
        <f t="shared" si="45"/>
        <v>27</v>
      </c>
      <c r="R29" s="347">
        <f t="shared" si="45"/>
        <v>18</v>
      </c>
      <c r="S29" s="347">
        <f t="shared" si="45"/>
        <v>-21</v>
      </c>
      <c r="T29" s="347">
        <f t="shared" si="45"/>
        <v>-2</v>
      </c>
      <c r="U29" s="347">
        <f t="shared" si="45"/>
        <v>184</v>
      </c>
      <c r="V29" s="1005">
        <f t="shared" si="45"/>
        <v>179</v>
      </c>
      <c r="W29" s="347">
        <f t="shared" si="45"/>
        <v>17</v>
      </c>
      <c r="X29" s="347">
        <f t="shared" si="45"/>
        <v>17</v>
      </c>
      <c r="Y29" s="347">
        <f t="shared" si="45"/>
        <v>17</v>
      </c>
      <c r="Z29" s="347">
        <f t="shared" si="45"/>
        <v>16</v>
      </c>
      <c r="AA29" s="1005">
        <f t="shared" si="45"/>
        <v>67</v>
      </c>
      <c r="AB29" s="347">
        <f t="shared" si="45"/>
        <v>16</v>
      </c>
      <c r="AC29" s="347">
        <f t="shared" si="45"/>
        <v>18</v>
      </c>
      <c r="AD29" s="347">
        <f t="shared" si="45"/>
        <v>15</v>
      </c>
      <c r="AE29" s="347">
        <f t="shared" si="45"/>
        <v>20</v>
      </c>
      <c r="AF29" s="1005">
        <f t="shared" si="45"/>
        <v>69</v>
      </c>
      <c r="AG29" s="347">
        <f t="shared" si="45"/>
        <v>17</v>
      </c>
      <c r="AH29" s="347">
        <f t="shared" si="45"/>
        <v>18</v>
      </c>
      <c r="AI29" s="347">
        <f t="shared" si="45"/>
        <v>17</v>
      </c>
      <c r="AJ29" s="347">
        <f t="shared" si="45"/>
        <v>32</v>
      </c>
      <c r="AK29" s="1005">
        <f t="shared" si="45"/>
        <v>84</v>
      </c>
      <c r="AL29" s="347">
        <f t="shared" si="45"/>
        <v>40</v>
      </c>
      <c r="AM29" s="347">
        <f t="shared" si="45"/>
        <v>43</v>
      </c>
      <c r="AN29" s="347">
        <f t="shared" si="45"/>
        <v>38</v>
      </c>
      <c r="AO29" s="347">
        <f t="shared" si="45"/>
        <v>36</v>
      </c>
      <c r="AP29" s="1005">
        <f t="shared" si="45"/>
        <v>157</v>
      </c>
      <c r="AQ29" s="347">
        <f t="shared" si="45"/>
        <v>44</v>
      </c>
      <c r="AR29" s="347">
        <f t="shared" si="45"/>
        <v>41</v>
      </c>
      <c r="AS29" s="347">
        <f t="shared" si="45"/>
        <v>45</v>
      </c>
      <c r="AT29" s="347">
        <f t="shared" si="45"/>
        <v>43</v>
      </c>
      <c r="AU29" s="1005">
        <f t="shared" si="45"/>
        <v>173</v>
      </c>
      <c r="AV29" s="347">
        <f t="shared" si="45"/>
        <v>69</v>
      </c>
      <c r="AW29" s="347">
        <f t="shared" si="45"/>
        <v>50</v>
      </c>
      <c r="AX29" s="347">
        <f t="shared" si="45"/>
        <v>50</v>
      </c>
      <c r="AY29" s="347">
        <f t="shared" si="45"/>
        <v>51</v>
      </c>
      <c r="AZ29" s="1005">
        <f t="shared" si="45"/>
        <v>220</v>
      </c>
      <c r="BA29" s="347">
        <f t="shared" si="46" ref="BA29:BE29">INDEX(MO_RIS_OtherIncome,0,COLUMN())</f>
        <v>46</v>
      </c>
      <c r="BB29" s="347">
        <f t="shared" si="46"/>
        <v>45</v>
      </c>
      <c r="BC29" s="347">
        <f>INDEX(MO_RIS_OtherIncome,0,COLUMN())</f>
        <v>47</v>
      </c>
      <c r="BD29" s="347">
        <f t="shared" si="46"/>
        <v>39</v>
      </c>
      <c r="BE29" s="1005">
        <f t="shared" si="46"/>
        <v>177</v>
      </c>
      <c r="BF29" s="347">
        <f t="shared" si="47" ref="BF29:BJ29">INDEX(MO_RIS_OtherIncome,0,COLUMN())</f>
        <v>29</v>
      </c>
      <c r="BG29" s="347">
        <f t="shared" si="47"/>
        <v>22</v>
      </c>
      <c r="BH29" s="751">
        <f>INDEX(MO_RIS_OtherIncome,0,COLUMN())</f>
        <v>23</v>
      </c>
      <c r="BI29" s="347">
        <f t="shared" si="47"/>
        <v>13</v>
      </c>
      <c r="BJ29" s="1005">
        <f t="shared" si="47"/>
        <v>87</v>
      </c>
      <c r="BK29" s="347">
        <f t="shared" si="48" ref="BK29:BR29">INDEX(MO_RIS_OtherIncome,0,COLUMN())</f>
        <v>17</v>
      </c>
      <c r="BL29" s="347">
        <f t="shared" si="48"/>
        <v>17</v>
      </c>
      <c r="BM29" s="347">
        <f t="shared" si="48"/>
        <v>17</v>
      </c>
      <c r="BN29" s="347">
        <f t="shared" si="48"/>
        <v>17</v>
      </c>
      <c r="BO29" s="1005">
        <f t="shared" si="48"/>
        <v>68</v>
      </c>
      <c r="BP29" s="1005">
        <f t="shared" si="48"/>
        <v>68</v>
      </c>
      <c r="BQ29" s="1005">
        <f t="shared" si="48"/>
        <v>68</v>
      </c>
      <c r="BR29" s="1005">
        <f t="shared" si="48"/>
        <v>68</v>
      </c>
      <c r="BS29" s="139"/>
    </row>
    <row r="30" spans="1:71" ht="15">
      <c r="A30" s="200" t="str">
        <f>INDEX(MO_RIS_REV,0,COLUMN())</f>
        <v>Net Revenue</v>
      </c>
      <c r="B30" s="206"/>
      <c r="C30" s="1016">
        <f t="shared" si="49" ref="C30:AZ30">INDEX(SP_GF_Premiums,0,COLUMN())+INDEX(SP_GF_NetII,0,COLUMN())+INDEX(SP_GF_NetIG,0,COLUMN())+INDEX(SP_GF_OtherIncome,0,COLUMN())</f>
        <v>18254</v>
      </c>
      <c r="D30" s="1016">
        <f t="shared" si="49"/>
        <v>20732</v>
      </c>
      <c r="E30" s="1016">
        <f t="shared" si="49"/>
        <v>22171</v>
      </c>
      <c r="F30" s="1016">
        <f t="shared" si="49"/>
        <v>25364</v>
      </c>
      <c r="G30" s="1016">
        <f t="shared" si="49"/>
        <v>23939</v>
      </c>
      <c r="H30" s="141">
        <f t="shared" si="49"/>
        <v>5640</v>
      </c>
      <c r="I30" s="141">
        <f t="shared" si="49"/>
        <v>5838</v>
      </c>
      <c r="J30" s="141">
        <f t="shared" si="49"/>
        <v>5736</v>
      </c>
      <c r="K30" s="141">
        <f t="shared" si="49"/>
        <v>5514</v>
      </c>
      <c r="L30" s="1016">
        <f t="shared" si="49"/>
        <v>22728</v>
      </c>
      <c r="M30" s="141">
        <f t="shared" si="49"/>
        <v>5226</v>
      </c>
      <c r="N30" s="141">
        <f t="shared" si="49"/>
        <v>5287</v>
      </c>
      <c r="O30" s="141">
        <f t="shared" si="49"/>
        <v>5040</v>
      </c>
      <c r="P30" s="141">
        <f t="shared" si="49"/>
        <v>5319</v>
      </c>
      <c r="Q30" s="1016">
        <f t="shared" si="49"/>
        <v>20872</v>
      </c>
      <c r="R30" s="141">
        <f t="shared" si="49"/>
        <v>5451</v>
      </c>
      <c r="S30" s="141">
        <f t="shared" si="49"/>
        <v>5437</v>
      </c>
      <c r="T30" s="141">
        <f t="shared" si="49"/>
        <v>5716</v>
      </c>
      <c r="U30" s="141">
        <f t="shared" si="49"/>
        <v>5955</v>
      </c>
      <c r="V30" s="1016">
        <f t="shared" si="49"/>
        <v>22559</v>
      </c>
      <c r="W30" s="141">
        <f t="shared" si="49"/>
        <v>5309</v>
      </c>
      <c r="X30" s="141">
        <f t="shared" si="49"/>
        <v>5428</v>
      </c>
      <c r="Y30" s="141">
        <f t="shared" si="49"/>
        <v>5506</v>
      </c>
      <c r="Z30" s="141">
        <f t="shared" si="49"/>
        <v>5424</v>
      </c>
      <c r="AA30" s="1016">
        <f t="shared" si="49"/>
        <v>21667</v>
      </c>
      <c r="AB30" s="141">
        <f t="shared" si="49"/>
        <v>5464</v>
      </c>
      <c r="AC30" s="141">
        <f t="shared" si="49"/>
        <v>5589</v>
      </c>
      <c r="AD30" s="141">
        <f t="shared" si="49"/>
        <v>5577</v>
      </c>
      <c r="AE30" s="141">
        <f t="shared" si="49"/>
        <v>5128</v>
      </c>
      <c r="AF30" s="1016">
        <f t="shared" si="49"/>
        <v>21758</v>
      </c>
      <c r="AG30" s="141">
        <f t="shared" si="49"/>
        <v>5657</v>
      </c>
      <c r="AH30" s="141">
        <f t="shared" si="49"/>
        <v>5511</v>
      </c>
      <c r="AI30" s="141">
        <f t="shared" si="49"/>
        <v>5536</v>
      </c>
      <c r="AJ30" s="141">
        <f t="shared" si="49"/>
        <v>5603</v>
      </c>
      <c r="AK30" s="1016">
        <f t="shared" si="49"/>
        <v>22307</v>
      </c>
      <c r="AL30" s="141">
        <f t="shared" si="49"/>
        <v>5162</v>
      </c>
      <c r="AM30" s="141">
        <f t="shared" si="49"/>
        <v>5407</v>
      </c>
      <c r="AN30" s="141">
        <f t="shared" si="49"/>
        <v>5665</v>
      </c>
      <c r="AO30" s="141">
        <f t="shared" si="49"/>
        <v>5913</v>
      </c>
      <c r="AP30" s="1016">
        <f t="shared" si="49"/>
        <v>22147</v>
      </c>
      <c r="AQ30" s="141">
        <f t="shared" si="49"/>
        <v>5869</v>
      </c>
      <c r="AR30" s="141">
        <f t="shared" si="49"/>
        <v>5564</v>
      </c>
      <c r="AS30" s="141">
        <f t="shared" si="49"/>
        <v>5237</v>
      </c>
      <c r="AT30" s="141">
        <f t="shared" si="49"/>
        <v>5436</v>
      </c>
      <c r="AU30" s="1016">
        <f t="shared" si="49"/>
        <v>22106</v>
      </c>
      <c r="AV30" s="141">
        <f t="shared" si="49"/>
        <v>5173</v>
      </c>
      <c r="AW30" s="141">
        <f t="shared" si="49"/>
        <v>5315</v>
      </c>
      <c r="AX30" s="141">
        <f t="shared" si="49"/>
        <v>4704</v>
      </c>
      <c r="AY30" s="141">
        <f t="shared" si="49"/>
        <v>3948</v>
      </c>
      <c r="AZ30" s="1016">
        <f t="shared" si="49"/>
        <v>19140</v>
      </c>
      <c r="BA30" s="141">
        <f t="shared" si="50" ref="BA30:BE30">INDEX(SP_GF_Premiums,0,COLUMN())+INDEX(SP_GF_NetII,0,COLUMN())+INDEX(SP_GF_NetIG,0,COLUMN())+INDEX(SP_GF_OtherIncome,0,COLUMN())</f>
        <v>4800</v>
      </c>
      <c r="BB30" s="141">
        <f t="shared" si="50"/>
        <v>5172</v>
      </c>
      <c r="BC30" s="141">
        <f>INDEX(SP_GF_Premiums,0,COLUMN())+INDEX(SP_GF_NetII,0,COLUMN())+INDEX(SP_GF_NetIG,0,COLUMN())+INDEX(SP_GF_OtherIncome,0,COLUMN())</f>
        <v>4950</v>
      </c>
      <c r="BD30" s="141">
        <f t="shared" si="50"/>
        <v>3779</v>
      </c>
      <c r="BE30" s="1016">
        <f t="shared" si="50"/>
        <v>18701</v>
      </c>
      <c r="BF30" s="141">
        <f t="shared" si="51" ref="BF30:BJ30">INDEX(SP_GF_Premiums,0,COLUMN())+INDEX(SP_GF_NetII,0,COLUMN())+INDEX(SP_GF_NetIG,0,COLUMN())+INDEX(SP_GF_OtherIncome,0,COLUMN())</f>
        <v>5436</v>
      </c>
      <c r="BG30" s="141">
        <f t="shared" si="51"/>
        <v>5138</v>
      </c>
      <c r="BH30" s="777">
        <f>INDEX(SP_GF_Premiums,0,COLUMN())+INDEX(SP_GF_NetII,0,COLUMN())+INDEX(SP_GF_NetIG,0,COLUMN())+INDEX(SP_GF_OtherIncome,0,COLUMN())</f>
        <v>2949</v>
      </c>
      <c r="BI30" s="141">
        <f t="shared" si="51"/>
        <v>4963.0329174863391</v>
      </c>
      <c r="BJ30" s="1016">
        <f t="shared" si="51"/>
        <v>18486.032917486336</v>
      </c>
      <c r="BK30" s="141">
        <f t="shared" si="52" ref="BK30:BR30">INDEX(SP_GF_Premiums,0,COLUMN())+INDEX(SP_GF_NetII,0,COLUMN())+INDEX(SP_GF_NetIG,0,COLUMN())+INDEX(SP_GF_OtherIncome,0,COLUMN())</f>
        <v>4096.9159169863015</v>
      </c>
      <c r="BL30" s="141">
        <f t="shared" si="52"/>
        <v>4069.0490832876712</v>
      </c>
      <c r="BM30" s="141">
        <f t="shared" si="52"/>
        <v>4304.7057251506849</v>
      </c>
      <c r="BN30" s="141">
        <f t="shared" si="52"/>
        <v>4844.0393004986308</v>
      </c>
      <c r="BO30" s="1016">
        <f t="shared" si="52"/>
        <v>17314.71002592329</v>
      </c>
      <c r="BP30" s="1016">
        <f t="shared" si="52"/>
        <v>17467.541447728749</v>
      </c>
      <c r="BQ30" s="1016">
        <f t="shared" si="52"/>
        <v>17636.949539309786</v>
      </c>
      <c r="BR30" s="1016">
        <f t="shared" si="52"/>
        <v>17809.447363827498</v>
      </c>
      <c r="BS30" s="448"/>
    </row>
    <row r="31" spans="1:71" ht="15">
      <c r="A31" s="205" t="str">
        <f>INDEX(MO_RIS_OPEX,0,COLUMN())</f>
        <v>OPEX</v>
      </c>
      <c r="B31" s="202"/>
      <c r="C31" s="1003">
        <f t="shared" si="53" ref="C31:AZ31">INDEX(MO_RIS_OPEX,0,COLUMN())</f>
        <v>15947</v>
      </c>
      <c r="D31" s="1003">
        <f t="shared" si="53"/>
        <v>16998</v>
      </c>
      <c r="E31" s="1003">
        <f t="shared" si="53"/>
        <v>19025</v>
      </c>
      <c r="F31" s="1003">
        <f t="shared" si="53"/>
        <v>20801</v>
      </c>
      <c r="G31" s="1003">
        <f t="shared" si="53"/>
        <v>18830</v>
      </c>
      <c r="H31" s="139">
        <f t="shared" si="53"/>
        <v>4456</v>
      </c>
      <c r="I31" s="139">
        <f t="shared" si="53"/>
        <v>4519</v>
      </c>
      <c r="J31" s="139">
        <f t="shared" si="53"/>
        <v>4585</v>
      </c>
      <c r="K31" s="139">
        <f t="shared" si="53"/>
        <v>4360</v>
      </c>
      <c r="L31" s="1003">
        <f t="shared" si="53"/>
        <v>17920</v>
      </c>
      <c r="M31" s="139">
        <f t="shared" si="53"/>
        <v>4130</v>
      </c>
      <c r="N31" s="139">
        <f t="shared" si="53"/>
        <v>4339</v>
      </c>
      <c r="O31" s="139">
        <f t="shared" si="53"/>
        <v>4109</v>
      </c>
      <c r="P31" s="139">
        <f t="shared" si="53"/>
        <v>4143</v>
      </c>
      <c r="Q31" s="1003">
        <f t="shared" si="53"/>
        <v>16721</v>
      </c>
      <c r="R31" s="139">
        <f t="shared" si="53"/>
        <v>4269</v>
      </c>
      <c r="S31" s="139">
        <f t="shared" si="53"/>
        <v>4537</v>
      </c>
      <c r="T31" s="139">
        <f t="shared" si="53"/>
        <v>4688</v>
      </c>
      <c r="U31" s="139">
        <f t="shared" si="53"/>
        <v>4730</v>
      </c>
      <c r="V31" s="1003">
        <f t="shared" si="53"/>
        <v>18224</v>
      </c>
      <c r="W31" s="139">
        <f t="shared" si="53"/>
        <v>4349</v>
      </c>
      <c r="X31" s="139">
        <f t="shared" si="53"/>
        <v>4322</v>
      </c>
      <c r="Y31" s="139">
        <f t="shared" si="53"/>
        <v>4372</v>
      </c>
      <c r="Z31" s="139">
        <f t="shared" si="53"/>
        <v>4366</v>
      </c>
      <c r="AA31" s="1003">
        <f t="shared" si="53"/>
        <v>17409</v>
      </c>
      <c r="AB31" s="139">
        <f t="shared" si="53"/>
        <v>4426</v>
      </c>
      <c r="AC31" s="139">
        <f t="shared" si="53"/>
        <v>4404</v>
      </c>
      <c r="AD31" s="139">
        <f t="shared" si="53"/>
        <v>4378</v>
      </c>
      <c r="AE31" s="139">
        <f t="shared" si="53"/>
        <v>4345</v>
      </c>
      <c r="AF31" s="1003">
        <f t="shared" si="53"/>
        <v>17553</v>
      </c>
      <c r="AG31" s="139">
        <f t="shared" si="53"/>
        <v>4357</v>
      </c>
      <c r="AH31" s="139">
        <f t="shared" si="53"/>
        <v>4345</v>
      </c>
      <c r="AI31" s="139">
        <f t="shared" si="53"/>
        <v>4443</v>
      </c>
      <c r="AJ31" s="139">
        <f t="shared" si="53"/>
        <v>4489</v>
      </c>
      <c r="AK31" s="1003">
        <f t="shared" si="53"/>
        <v>17634</v>
      </c>
      <c r="AL31" s="139">
        <f t="shared" si="53"/>
        <v>4387</v>
      </c>
      <c r="AM31" s="139">
        <f t="shared" si="53"/>
        <v>4274</v>
      </c>
      <c r="AN31" s="139">
        <f t="shared" si="53"/>
        <v>4449</v>
      </c>
      <c r="AO31" s="139">
        <f t="shared" si="53"/>
        <v>4636</v>
      </c>
      <c r="AP31" s="1003">
        <f t="shared" si="53"/>
        <v>17746</v>
      </c>
      <c r="AQ31" s="139">
        <f t="shared" si="53"/>
        <v>4204</v>
      </c>
      <c r="AR31" s="139">
        <f t="shared" si="53"/>
        <v>4129</v>
      </c>
      <c r="AS31" s="139">
        <f t="shared" si="53"/>
        <v>4067</v>
      </c>
      <c r="AT31" s="139">
        <f t="shared" si="53"/>
        <v>4146</v>
      </c>
      <c r="AU31" s="1003">
        <f t="shared" si="53"/>
        <v>16546</v>
      </c>
      <c r="AV31" s="139">
        <f t="shared" si="53"/>
        <v>3823</v>
      </c>
      <c r="AW31" s="139">
        <f t="shared" si="53"/>
        <v>3552</v>
      </c>
      <c r="AX31" s="139">
        <f t="shared" si="53"/>
        <v>3316</v>
      </c>
      <c r="AY31" s="139">
        <f t="shared" si="53"/>
        <v>3354</v>
      </c>
      <c r="AZ31" s="1003">
        <f t="shared" si="53"/>
        <v>14045</v>
      </c>
      <c r="BA31" s="139">
        <f t="shared" si="54" ref="BA31:BE31">INDEX(MO_RIS_OPEX,0,COLUMN())</f>
        <v>3410</v>
      </c>
      <c r="BB31" s="139">
        <f t="shared" si="54"/>
        <v>3296</v>
      </c>
      <c r="BC31" s="139">
        <f>INDEX(MO_RIS_OPEX,0,COLUMN())</f>
        <v>3096</v>
      </c>
      <c r="BD31" s="139">
        <f t="shared" si="54"/>
        <v>3442</v>
      </c>
      <c r="BE31" s="1003">
        <f t="shared" si="54"/>
        <v>13244</v>
      </c>
      <c r="BF31" s="139">
        <f t="shared" si="55" ref="BF31:BJ31">INDEX(MO_RIS_OPEX,0,COLUMN())</f>
        <v>3219</v>
      </c>
      <c r="BG31" s="139">
        <f t="shared" si="55"/>
        <v>3069</v>
      </c>
      <c r="BH31" s="750">
        <f>INDEX(MO_RIS_OPEX,0,COLUMN())</f>
        <v>2807</v>
      </c>
      <c r="BI31" s="139">
        <f t="shared" si="55"/>
        <v>4043.8864514316938</v>
      </c>
      <c r="BJ31" s="1003">
        <f t="shared" si="55"/>
        <v>13138.886451431694</v>
      </c>
      <c r="BK31" s="139">
        <f t="shared" si="56" ref="BK31:BR31">INDEX(MO_RIS_OPEX,0,COLUMN())</f>
        <v>3053.4959039301375</v>
      </c>
      <c r="BL31" s="139">
        <f t="shared" si="56"/>
        <v>2979.6468285150686</v>
      </c>
      <c r="BM31" s="139">
        <f t="shared" si="56"/>
        <v>3280.2758631605484</v>
      </c>
      <c r="BN31" s="139">
        <f t="shared" si="56"/>
        <v>3680.1148355373698</v>
      </c>
      <c r="BO31" s="1003">
        <f t="shared" si="56"/>
        <v>12993.533431143125</v>
      </c>
      <c r="BP31" s="1003">
        <f t="shared" si="56"/>
        <v>13191.499575143702</v>
      </c>
      <c r="BQ31" s="1003">
        <f t="shared" si="56"/>
        <v>13523.473439396123</v>
      </c>
      <c r="BR31" s="1003">
        <f t="shared" si="56"/>
        <v>13657.139087165533</v>
      </c>
      <c r="BS31" s="139"/>
    </row>
    <row r="32" spans="1:71" ht="15">
      <c r="A32" s="205" t="str">
        <f>INDEX(MO_RIS_IE,0,COLUMN())</f>
        <v>Interest Expense</v>
      </c>
      <c r="B32" s="202"/>
      <c r="C32" s="1003">
        <f t="shared" si="57" ref="C32:AZ32">INDEX(MO_RIS_IE,0,COLUMN())</f>
        <v>72</v>
      </c>
      <c r="D32" s="1003">
        <f t="shared" si="57"/>
        <v>149</v>
      </c>
      <c r="E32" s="1003">
        <f t="shared" si="57"/>
        <v>196</v>
      </c>
      <c r="F32" s="1003">
        <f t="shared" si="57"/>
        <v>261</v>
      </c>
      <c r="G32" s="1003">
        <f t="shared" si="57"/>
        <v>293</v>
      </c>
      <c r="H32" s="139">
        <f t="shared" si="57"/>
        <v>80</v>
      </c>
      <c r="I32" s="139">
        <f t="shared" si="57"/>
        <v>81</v>
      </c>
      <c r="J32" s="139">
        <f t="shared" si="57"/>
        <v>77</v>
      </c>
      <c r="K32" s="139">
        <f t="shared" si="57"/>
        <v>79</v>
      </c>
      <c r="L32" s="1003">
        <f t="shared" si="57"/>
        <v>317</v>
      </c>
      <c r="M32" s="139">
        <f t="shared" si="57"/>
        <v>83</v>
      </c>
      <c r="N32" s="139">
        <f t="shared" si="57"/>
        <v>74</v>
      </c>
      <c r="O32" s="139">
        <f t="shared" si="57"/>
        <v>67</v>
      </c>
      <c r="P32" s="139">
        <f t="shared" si="57"/>
        <v>65</v>
      </c>
      <c r="Q32" s="1003">
        <f t="shared" si="57"/>
        <v>289</v>
      </c>
      <c r="R32" s="139">
        <f t="shared" si="57"/>
        <v>65</v>
      </c>
      <c r="S32" s="139">
        <f t="shared" si="57"/>
        <v>66</v>
      </c>
      <c r="T32" s="139">
        <f t="shared" si="57"/>
        <v>65</v>
      </c>
      <c r="U32" s="139">
        <f t="shared" si="57"/>
        <v>72</v>
      </c>
      <c r="V32" s="1003">
        <f t="shared" si="57"/>
        <v>268</v>
      </c>
      <c r="W32" s="139">
        <f t="shared" si="57"/>
        <v>62</v>
      </c>
      <c r="X32" s="139">
        <f t="shared" si="57"/>
        <v>61</v>
      </c>
      <c r="Y32" s="139">
        <f t="shared" si="57"/>
        <v>59</v>
      </c>
      <c r="Z32" s="139">
        <f t="shared" si="57"/>
        <v>58</v>
      </c>
      <c r="AA32" s="1003">
        <f t="shared" si="57"/>
        <v>240</v>
      </c>
      <c r="AB32" s="139">
        <f t="shared" si="57"/>
        <v>56</v>
      </c>
      <c r="AC32" s="139">
        <f t="shared" si="57"/>
        <v>54</v>
      </c>
      <c r="AD32" s="139">
        <f t="shared" si="57"/>
        <v>53</v>
      </c>
      <c r="AE32" s="139">
        <f t="shared" si="57"/>
        <v>59</v>
      </c>
      <c r="AF32" s="1003">
        <f t="shared" si="57"/>
        <v>222</v>
      </c>
      <c r="AG32" s="139">
        <f t="shared" si="57"/>
        <v>58</v>
      </c>
      <c r="AH32" s="139">
        <f t="shared" si="57"/>
        <v>57</v>
      </c>
      <c r="AI32" s="139">
        <f t="shared" si="57"/>
        <v>57</v>
      </c>
      <c r="AJ32" s="139">
        <f t="shared" si="57"/>
        <v>56</v>
      </c>
      <c r="AK32" s="1003">
        <f t="shared" si="57"/>
        <v>228</v>
      </c>
      <c r="AL32" s="139">
        <f t="shared" si="57"/>
        <v>55</v>
      </c>
      <c r="AM32" s="139">
        <f t="shared" si="57"/>
        <v>63</v>
      </c>
      <c r="AN32" s="139">
        <f t="shared" si="57"/>
        <v>63</v>
      </c>
      <c r="AO32" s="139">
        <f t="shared" si="57"/>
        <v>61</v>
      </c>
      <c r="AP32" s="1003">
        <f t="shared" si="57"/>
        <v>242</v>
      </c>
      <c r="AQ32" s="139">
        <f t="shared" si="57"/>
        <v>62</v>
      </c>
      <c r="AR32" s="139">
        <f t="shared" si="57"/>
        <v>62</v>
      </c>
      <c r="AS32" s="139">
        <f t="shared" si="57"/>
        <v>57</v>
      </c>
      <c r="AT32" s="139">
        <f t="shared" si="57"/>
        <v>57</v>
      </c>
      <c r="AU32" s="1003">
        <f t="shared" si="57"/>
        <v>238</v>
      </c>
      <c r="AV32" s="139">
        <f t="shared" si="57"/>
        <v>56</v>
      </c>
      <c r="AW32" s="139">
        <f t="shared" si="57"/>
        <v>55</v>
      </c>
      <c r="AX32" s="139">
        <f t="shared" si="57"/>
        <v>59</v>
      </c>
      <c r="AY32" s="139">
        <f t="shared" si="57"/>
        <v>56</v>
      </c>
      <c r="AZ32" s="1003">
        <f t="shared" si="57"/>
        <v>226</v>
      </c>
      <c r="BA32" s="139">
        <f t="shared" si="58" ref="BA32:BE32">INDEX(MO_RIS_IE,0,COLUMN())</f>
        <v>48</v>
      </c>
      <c r="BB32" s="139">
        <f t="shared" si="58"/>
        <v>51</v>
      </c>
      <c r="BC32" s="139">
        <f>INDEX(MO_RIS_IE,0,COLUMN())</f>
        <v>49</v>
      </c>
      <c r="BD32" s="139">
        <f t="shared" si="58"/>
        <v>47</v>
      </c>
      <c r="BE32" s="1003">
        <f t="shared" si="58"/>
        <v>195</v>
      </c>
      <c r="BF32" s="139">
        <f t="shared" si="59" ref="BF32:BJ32">INDEX(MO_RIS_IE,0,COLUMN())</f>
        <v>47</v>
      </c>
      <c r="BG32" s="139">
        <f t="shared" si="59"/>
        <v>50</v>
      </c>
      <c r="BH32" s="750">
        <f>INDEX(MO_RIS_IE,0,COLUMN())</f>
        <v>50</v>
      </c>
      <c r="BI32" s="139">
        <f t="shared" si="59"/>
        <v>64.172765027322399</v>
      </c>
      <c r="BJ32" s="1003">
        <f t="shared" si="59"/>
        <v>211.17276502732238</v>
      </c>
      <c r="BK32" s="139">
        <f t="shared" si="60" ref="BK32:BR32">INDEX(MO_RIS_IE,0,COLUMN())</f>
        <v>62.949698630136986</v>
      </c>
      <c r="BL32" s="139">
        <f t="shared" si="60"/>
        <v>63.649139726027393</v>
      </c>
      <c r="BM32" s="139">
        <f t="shared" si="60"/>
        <v>64.348580821917807</v>
      </c>
      <c r="BN32" s="139">
        <f t="shared" si="60"/>
        <v>64.348580821917807</v>
      </c>
      <c r="BO32" s="1003">
        <f t="shared" si="60"/>
        <v>255.29599999999999</v>
      </c>
      <c r="BP32" s="1003">
        <f t="shared" si="60"/>
        <v>255.29599999999999</v>
      </c>
      <c r="BQ32" s="1003">
        <f t="shared" si="60"/>
        <v>255.29599999999999</v>
      </c>
      <c r="BR32" s="1003">
        <f t="shared" si="60"/>
        <v>255.29599999999999</v>
      </c>
      <c r="BS32" s="139"/>
    </row>
    <row r="33" spans="1:71" ht="15">
      <c r="A33" s="205" t="str">
        <f>INDEX(MO_RIS_OI,0,COLUMN())</f>
        <v>Other Items</v>
      </c>
      <c r="B33" s="202"/>
      <c r="C33" s="1003">
        <f t="shared" si="61" ref="C33:AZ33">INDEX(MO_RIS_OI,0,COLUMN())</f>
        <v>0</v>
      </c>
      <c r="D33" s="1003">
        <f t="shared" si="61"/>
        <v>0</v>
      </c>
      <c r="E33" s="1003">
        <f t="shared" si="61"/>
        <v>0</v>
      </c>
      <c r="F33" s="1003">
        <f t="shared" si="61"/>
        <v>0</v>
      </c>
      <c r="G33" s="1003">
        <f t="shared" si="61"/>
        <v>0</v>
      </c>
      <c r="H33" s="139">
        <f t="shared" si="61"/>
        <v>0</v>
      </c>
      <c r="I33" s="139">
        <f t="shared" si="61"/>
        <v>0</v>
      </c>
      <c r="J33" s="139">
        <f t="shared" si="61"/>
        <v>0</v>
      </c>
      <c r="K33" s="139">
        <f t="shared" si="61"/>
        <v>0</v>
      </c>
      <c r="L33" s="1003">
        <f t="shared" si="61"/>
        <v>0</v>
      </c>
      <c r="M33" s="139">
        <f t="shared" si="61"/>
        <v>0</v>
      </c>
      <c r="N33" s="139">
        <f t="shared" si="61"/>
        <v>0</v>
      </c>
      <c r="O33" s="139">
        <f t="shared" si="61"/>
        <v>0</v>
      </c>
      <c r="P33" s="139">
        <f t="shared" si="61"/>
        <v>0</v>
      </c>
      <c r="Q33" s="1003">
        <f t="shared" si="61"/>
        <v>0</v>
      </c>
      <c r="R33" s="139">
        <f t="shared" si="61"/>
        <v>0</v>
      </c>
      <c r="S33" s="139">
        <f t="shared" si="61"/>
        <v>0</v>
      </c>
      <c r="T33" s="139">
        <f t="shared" si="61"/>
        <v>0</v>
      </c>
      <c r="U33" s="139">
        <f t="shared" si="61"/>
        <v>0</v>
      </c>
      <c r="V33" s="1003">
        <f t="shared" si="61"/>
        <v>0</v>
      </c>
      <c r="W33" s="139">
        <f t="shared" si="61"/>
        <v>0</v>
      </c>
      <c r="X33" s="139">
        <f t="shared" si="61"/>
        <v>0</v>
      </c>
      <c r="Y33" s="139">
        <f t="shared" si="61"/>
        <v>0</v>
      </c>
      <c r="Z33" s="139">
        <f t="shared" si="61"/>
        <v>0</v>
      </c>
      <c r="AA33" s="1003">
        <f t="shared" si="61"/>
        <v>0</v>
      </c>
      <c r="AB33" s="139">
        <f t="shared" si="61"/>
        <v>0</v>
      </c>
      <c r="AC33" s="139">
        <f t="shared" si="61"/>
        <v>0</v>
      </c>
      <c r="AD33" s="139">
        <f t="shared" si="61"/>
        <v>0</v>
      </c>
      <c r="AE33" s="139">
        <f t="shared" si="61"/>
        <v>0</v>
      </c>
      <c r="AF33" s="1003">
        <f t="shared" si="61"/>
        <v>0</v>
      </c>
      <c r="AG33" s="139">
        <f t="shared" si="61"/>
        <v>0</v>
      </c>
      <c r="AH33" s="139">
        <f t="shared" si="61"/>
        <v>0</v>
      </c>
      <c r="AI33" s="139">
        <f t="shared" si="61"/>
        <v>0</v>
      </c>
      <c r="AJ33" s="139">
        <f t="shared" si="61"/>
        <v>0</v>
      </c>
      <c r="AK33" s="1003">
        <f t="shared" si="61"/>
        <v>0</v>
      </c>
      <c r="AL33" s="139">
        <f t="shared" si="61"/>
        <v>0</v>
      </c>
      <c r="AM33" s="139">
        <f t="shared" si="61"/>
        <v>0</v>
      </c>
      <c r="AN33" s="139">
        <f t="shared" si="61"/>
        <v>0</v>
      </c>
      <c r="AO33" s="139">
        <f t="shared" si="61"/>
        <v>0</v>
      </c>
      <c r="AP33" s="1003">
        <f t="shared" si="61"/>
        <v>0</v>
      </c>
      <c r="AQ33" s="139">
        <f t="shared" si="61"/>
        <v>0</v>
      </c>
      <c r="AR33" s="139">
        <f t="shared" si="61"/>
        <v>0</v>
      </c>
      <c r="AS33" s="139">
        <f t="shared" si="61"/>
        <v>0</v>
      </c>
      <c r="AT33" s="139">
        <f t="shared" si="61"/>
        <v>0</v>
      </c>
      <c r="AU33" s="1003">
        <f t="shared" si="61"/>
        <v>0</v>
      </c>
      <c r="AV33" s="139">
        <f t="shared" si="61"/>
        <v>0</v>
      </c>
      <c r="AW33" s="139">
        <f t="shared" si="61"/>
        <v>0</v>
      </c>
      <c r="AX33" s="139">
        <f t="shared" si="61"/>
        <v>0</v>
      </c>
      <c r="AY33" s="139">
        <f t="shared" si="61"/>
        <v>0</v>
      </c>
      <c r="AZ33" s="1003">
        <f t="shared" si="61"/>
        <v>0</v>
      </c>
      <c r="BA33" s="139">
        <f t="shared" si="62" ref="BA33:BE33">INDEX(MO_RIS_OI,0,COLUMN())</f>
        <v>0</v>
      </c>
      <c r="BB33" s="139">
        <f t="shared" si="62"/>
        <v>0</v>
      </c>
      <c r="BC33" s="139">
        <f>INDEX(MO_RIS_OI,0,COLUMN())</f>
        <v>0</v>
      </c>
      <c r="BD33" s="139">
        <f t="shared" si="62"/>
        <v>0</v>
      </c>
      <c r="BE33" s="1003">
        <f t="shared" si="62"/>
        <v>0</v>
      </c>
      <c r="BF33" s="139">
        <f t="shared" si="63" ref="BF33:BJ33">INDEX(MO_RIS_OI,0,COLUMN())</f>
        <v>0</v>
      </c>
      <c r="BG33" s="139">
        <f t="shared" si="63"/>
        <v>0</v>
      </c>
      <c r="BH33" s="750">
        <f>INDEX(MO_RIS_OI,0,COLUMN())</f>
        <v>0</v>
      </c>
      <c r="BI33" s="139">
        <f t="shared" si="63"/>
        <v>0</v>
      </c>
      <c r="BJ33" s="1003">
        <f t="shared" si="63"/>
        <v>0</v>
      </c>
      <c r="BK33" s="139">
        <f t="shared" si="64" ref="BK33:BR33">INDEX(MO_RIS_OI,0,COLUMN())</f>
        <v>0</v>
      </c>
      <c r="BL33" s="139">
        <f t="shared" si="64"/>
        <v>0</v>
      </c>
      <c r="BM33" s="139">
        <f t="shared" si="64"/>
        <v>0</v>
      </c>
      <c r="BN33" s="139">
        <f t="shared" si="64"/>
        <v>0</v>
      </c>
      <c r="BO33" s="1003">
        <f t="shared" si="64"/>
        <v>0</v>
      </c>
      <c r="BP33" s="1003">
        <f t="shared" si="64"/>
        <v>0</v>
      </c>
      <c r="BQ33" s="1003">
        <f t="shared" si="64"/>
        <v>0</v>
      </c>
      <c r="BR33" s="1003">
        <f t="shared" si="64"/>
        <v>0</v>
      </c>
      <c r="BS33" s="139"/>
    </row>
    <row r="34" spans="1:71" ht="15">
      <c r="A34" s="344" t="str">
        <f>INDEX(MO_RIS_OTI,0,COLUMN())</f>
        <v>One-time Items</v>
      </c>
      <c r="B34" s="345"/>
      <c r="C34" s="1005">
        <f t="shared" si="65" ref="C34:AZ34">INDEX(MO_RIS_OTI,0,COLUMN())</f>
        <v>0</v>
      </c>
      <c r="D34" s="1005">
        <f t="shared" si="65"/>
        <v>0</v>
      </c>
      <c r="E34" s="1005">
        <f t="shared" si="65"/>
        <v>0</v>
      </c>
      <c r="F34" s="1005">
        <f t="shared" si="65"/>
        <v>0</v>
      </c>
      <c r="G34" s="1005">
        <f t="shared" si="65"/>
        <v>0</v>
      </c>
      <c r="H34" s="347">
        <f t="shared" si="65"/>
        <v>0</v>
      </c>
      <c r="I34" s="347">
        <f t="shared" si="65"/>
        <v>0</v>
      </c>
      <c r="J34" s="347">
        <f t="shared" si="65"/>
        <v>0</v>
      </c>
      <c r="K34" s="347">
        <f t="shared" si="65"/>
        <v>0</v>
      </c>
      <c r="L34" s="1005">
        <f t="shared" si="65"/>
        <v>0</v>
      </c>
      <c r="M34" s="347">
        <f t="shared" si="65"/>
        <v>0</v>
      </c>
      <c r="N34" s="347">
        <f t="shared" si="65"/>
        <v>0</v>
      </c>
      <c r="O34" s="347">
        <f t="shared" si="65"/>
        <v>0</v>
      </c>
      <c r="P34" s="347">
        <f t="shared" si="65"/>
        <v>0</v>
      </c>
      <c r="Q34" s="1005">
        <f t="shared" si="65"/>
        <v>0</v>
      </c>
      <c r="R34" s="347">
        <f t="shared" si="65"/>
        <v>0</v>
      </c>
      <c r="S34" s="347">
        <f t="shared" si="65"/>
        <v>0</v>
      </c>
      <c r="T34" s="347">
        <f t="shared" si="65"/>
        <v>0</v>
      </c>
      <c r="U34" s="347">
        <f t="shared" si="65"/>
        <v>0</v>
      </c>
      <c r="V34" s="1005">
        <f t="shared" si="65"/>
        <v>0</v>
      </c>
      <c r="W34" s="347">
        <f t="shared" si="65"/>
        <v>0</v>
      </c>
      <c r="X34" s="347">
        <f t="shared" si="65"/>
        <v>0</v>
      </c>
      <c r="Y34" s="347">
        <f t="shared" si="65"/>
        <v>0</v>
      </c>
      <c r="Z34" s="347">
        <f t="shared" si="65"/>
        <v>0</v>
      </c>
      <c r="AA34" s="1005">
        <f t="shared" si="65"/>
        <v>0</v>
      </c>
      <c r="AB34" s="347">
        <f t="shared" si="65"/>
        <v>0</v>
      </c>
      <c r="AC34" s="347">
        <f t="shared" si="65"/>
        <v>0</v>
      </c>
      <c r="AD34" s="347">
        <f t="shared" si="65"/>
        <v>0</v>
      </c>
      <c r="AE34" s="347">
        <f t="shared" si="65"/>
        <v>0</v>
      </c>
      <c r="AF34" s="1005">
        <f t="shared" si="65"/>
        <v>0</v>
      </c>
      <c r="AG34" s="347">
        <f t="shared" si="65"/>
        <v>0</v>
      </c>
      <c r="AH34" s="347">
        <f t="shared" si="65"/>
        <v>0</v>
      </c>
      <c r="AI34" s="347">
        <f t="shared" si="65"/>
        <v>0</v>
      </c>
      <c r="AJ34" s="347">
        <f t="shared" si="65"/>
        <v>0</v>
      </c>
      <c r="AK34" s="1005">
        <f t="shared" si="65"/>
        <v>0</v>
      </c>
      <c r="AL34" s="347">
        <f t="shared" si="65"/>
        <v>0</v>
      </c>
      <c r="AM34" s="347">
        <f t="shared" si="65"/>
        <v>0</v>
      </c>
      <c r="AN34" s="347">
        <f t="shared" si="65"/>
        <v>0</v>
      </c>
      <c r="AO34" s="347">
        <f t="shared" si="65"/>
        <v>0</v>
      </c>
      <c r="AP34" s="1005">
        <f t="shared" si="65"/>
        <v>0</v>
      </c>
      <c r="AQ34" s="347">
        <f t="shared" si="65"/>
        <v>0</v>
      </c>
      <c r="AR34" s="347">
        <f t="shared" si="65"/>
        <v>0</v>
      </c>
      <c r="AS34" s="347">
        <f t="shared" si="65"/>
        <v>0</v>
      </c>
      <c r="AT34" s="347">
        <f t="shared" si="65"/>
        <v>0</v>
      </c>
      <c r="AU34" s="1005">
        <f t="shared" si="65"/>
        <v>0</v>
      </c>
      <c r="AV34" s="347">
        <f t="shared" si="65"/>
        <v>0</v>
      </c>
      <c r="AW34" s="347">
        <f t="shared" si="65"/>
        <v>0</v>
      </c>
      <c r="AX34" s="347">
        <f t="shared" si="65"/>
        <v>0</v>
      </c>
      <c r="AY34" s="347">
        <f t="shared" si="65"/>
        <v>0</v>
      </c>
      <c r="AZ34" s="1005">
        <f t="shared" si="65"/>
        <v>0</v>
      </c>
      <c r="BA34" s="347">
        <f t="shared" si="66" ref="BA34:BE34">INDEX(MO_RIS_OTI,0,COLUMN())</f>
        <v>0</v>
      </c>
      <c r="BB34" s="347">
        <f t="shared" si="66"/>
        <v>0</v>
      </c>
      <c r="BC34" s="347">
        <f>INDEX(MO_RIS_OTI,0,COLUMN())</f>
        <v>0</v>
      </c>
      <c r="BD34" s="347">
        <f t="shared" si="66"/>
        <v>0</v>
      </c>
      <c r="BE34" s="1005">
        <f t="shared" si="66"/>
        <v>0</v>
      </c>
      <c r="BF34" s="347">
        <f t="shared" si="67" ref="BF34:BJ34">INDEX(MO_RIS_OTI,0,COLUMN())</f>
        <v>0</v>
      </c>
      <c r="BG34" s="347">
        <f t="shared" si="67"/>
        <v>0</v>
      </c>
      <c r="BH34" s="751">
        <f>INDEX(MO_RIS_OTI,0,COLUMN())</f>
        <v>0</v>
      </c>
      <c r="BI34" s="347">
        <f t="shared" si="67"/>
        <v>0</v>
      </c>
      <c r="BJ34" s="1005">
        <f t="shared" si="67"/>
        <v>0</v>
      </c>
      <c r="BK34" s="347">
        <f t="shared" si="68" ref="BK34:BR34">INDEX(MO_RIS_OTI,0,COLUMN())</f>
        <v>0</v>
      </c>
      <c r="BL34" s="347">
        <f t="shared" si="68"/>
        <v>0</v>
      </c>
      <c r="BM34" s="347">
        <f t="shared" si="68"/>
        <v>0</v>
      </c>
      <c r="BN34" s="347">
        <f t="shared" si="68"/>
        <v>0</v>
      </c>
      <c r="BO34" s="1005">
        <f t="shared" si="68"/>
        <v>0</v>
      </c>
      <c r="BP34" s="1005">
        <f t="shared" si="68"/>
        <v>0</v>
      </c>
      <c r="BQ34" s="1005">
        <f t="shared" si="68"/>
        <v>0</v>
      </c>
      <c r="BR34" s="1005">
        <f t="shared" si="68"/>
        <v>0</v>
      </c>
      <c r="BS34" s="139"/>
    </row>
    <row r="35" spans="1:71" ht="15" customHeight="1">
      <c r="A35" s="200" t="str">
        <f>INDEX(MO_RIS_EBT,0,COLUMN())</f>
        <v>EBT</v>
      </c>
      <c r="B35" s="206"/>
      <c r="C35" s="1016">
        <f t="shared" si="69" ref="C35:AZ35">INDEX(SP_GF_Rev,0,COLUMN())-INDEX(SP_GF_OPEX,0,COLUMN())-INDEX(SP_GF_IE,0,COLUMN())-INDEX(SP_GF_OI,0,COLUMN())-INDEX(SP_GF_OTI,0,COLUMN())</f>
        <v>2235</v>
      </c>
      <c r="D35" s="1016">
        <f t="shared" si="69"/>
        <v>3585</v>
      </c>
      <c r="E35" s="1016">
        <f t="shared" si="69"/>
        <v>2950</v>
      </c>
      <c r="F35" s="1016">
        <f t="shared" si="69"/>
        <v>4302</v>
      </c>
      <c r="G35" s="1016">
        <f t="shared" si="69"/>
        <v>4816</v>
      </c>
      <c r="H35" s="141">
        <f t="shared" si="69"/>
        <v>1104</v>
      </c>
      <c r="I35" s="141">
        <f t="shared" si="69"/>
        <v>1238</v>
      </c>
      <c r="J35" s="141">
        <f t="shared" si="69"/>
        <v>1074</v>
      </c>
      <c r="K35" s="141">
        <f t="shared" si="69"/>
        <v>1075</v>
      </c>
      <c r="L35" s="1016">
        <f t="shared" si="69"/>
        <v>4491</v>
      </c>
      <c r="M35" s="141">
        <f t="shared" si="69"/>
        <v>1013</v>
      </c>
      <c r="N35" s="141">
        <f t="shared" si="69"/>
        <v>874</v>
      </c>
      <c r="O35" s="141">
        <f t="shared" si="69"/>
        <v>864</v>
      </c>
      <c r="P35" s="141">
        <f t="shared" si="69"/>
        <v>1111</v>
      </c>
      <c r="Q35" s="1016">
        <f t="shared" si="69"/>
        <v>3862</v>
      </c>
      <c r="R35" s="141">
        <f t="shared" si="69"/>
        <v>1117</v>
      </c>
      <c r="S35" s="141">
        <f t="shared" si="69"/>
        <v>834</v>
      </c>
      <c r="T35" s="141">
        <f t="shared" si="69"/>
        <v>963</v>
      </c>
      <c r="U35" s="141">
        <f t="shared" si="69"/>
        <v>1153</v>
      </c>
      <c r="V35" s="1016">
        <f t="shared" si="69"/>
        <v>4067</v>
      </c>
      <c r="W35" s="141">
        <f t="shared" si="69"/>
        <v>898</v>
      </c>
      <c r="X35" s="141">
        <f t="shared" si="69"/>
        <v>1045</v>
      </c>
      <c r="Y35" s="141">
        <f t="shared" si="69"/>
        <v>1075</v>
      </c>
      <c r="Z35" s="141">
        <f t="shared" si="69"/>
        <v>1000</v>
      </c>
      <c r="AA35" s="1016">
        <f t="shared" si="69"/>
        <v>4018</v>
      </c>
      <c r="AB35" s="141">
        <f t="shared" si="69"/>
        <v>982</v>
      </c>
      <c r="AC35" s="141">
        <f t="shared" si="69"/>
        <v>1131</v>
      </c>
      <c r="AD35" s="141">
        <f t="shared" si="69"/>
        <v>1146</v>
      </c>
      <c r="AE35" s="141">
        <f t="shared" si="69"/>
        <v>724</v>
      </c>
      <c r="AF35" s="1016">
        <f t="shared" si="69"/>
        <v>3983</v>
      </c>
      <c r="AG35" s="141">
        <f t="shared" si="69"/>
        <v>1242</v>
      </c>
      <c r="AH35" s="141">
        <f t="shared" si="69"/>
        <v>1109</v>
      </c>
      <c r="AI35" s="141">
        <f t="shared" si="69"/>
        <v>1036</v>
      </c>
      <c r="AJ35" s="141">
        <f t="shared" si="69"/>
        <v>1058</v>
      </c>
      <c r="AK35" s="1016">
        <f t="shared" si="69"/>
        <v>4445</v>
      </c>
      <c r="AL35" s="141">
        <f t="shared" si="69"/>
        <v>720</v>
      </c>
      <c r="AM35" s="141">
        <f t="shared" si="69"/>
        <v>1070</v>
      </c>
      <c r="AN35" s="141">
        <f t="shared" si="69"/>
        <v>1153</v>
      </c>
      <c r="AO35" s="141">
        <f t="shared" si="69"/>
        <v>1216</v>
      </c>
      <c r="AP35" s="1016">
        <f t="shared" si="69"/>
        <v>4159</v>
      </c>
      <c r="AQ35" s="141">
        <f t="shared" si="69"/>
        <v>1603</v>
      </c>
      <c r="AR35" s="141">
        <f t="shared" si="69"/>
        <v>1373</v>
      </c>
      <c r="AS35" s="141">
        <f t="shared" si="69"/>
        <v>1113</v>
      </c>
      <c r="AT35" s="141">
        <f t="shared" si="69"/>
        <v>1233</v>
      </c>
      <c r="AU35" s="1016">
        <f t="shared" si="69"/>
        <v>5322</v>
      </c>
      <c r="AV35" s="141">
        <f t="shared" si="69"/>
        <v>1294</v>
      </c>
      <c r="AW35" s="141">
        <f t="shared" si="69"/>
        <v>1708</v>
      </c>
      <c r="AX35" s="141">
        <f t="shared" si="69"/>
        <v>1329</v>
      </c>
      <c r="AY35" s="141">
        <f t="shared" si="69"/>
        <v>538</v>
      </c>
      <c r="AZ35" s="1016">
        <f t="shared" si="69"/>
        <v>4869</v>
      </c>
      <c r="BA35" s="141">
        <f t="shared" si="70" ref="BA35:BE35">INDEX(SP_GF_Rev,0,COLUMN())-INDEX(SP_GF_OPEX,0,COLUMN())-INDEX(SP_GF_IE,0,COLUMN())-INDEX(SP_GF_OI,0,COLUMN())-INDEX(SP_GF_OTI,0,COLUMN())</f>
        <v>1342</v>
      </c>
      <c r="BB35" s="141">
        <f t="shared" si="70"/>
        <v>1825</v>
      </c>
      <c r="BC35" s="141">
        <f>INDEX(SP_GF_Rev,0,COLUMN())-INDEX(SP_GF_OPEX,0,COLUMN())-INDEX(SP_GF_IE,0,COLUMN())-INDEX(SP_GF_OI,0,COLUMN())-INDEX(SP_GF_OTI,0,COLUMN())</f>
        <v>1805</v>
      </c>
      <c r="BD35" s="141">
        <f t="shared" si="70"/>
        <v>290</v>
      </c>
      <c r="BE35" s="1016">
        <f t="shared" si="70"/>
        <v>5262</v>
      </c>
      <c r="BF35" s="141">
        <f t="shared" si="71" ref="BF35:BJ35">INDEX(SP_GF_Rev,0,COLUMN())-INDEX(SP_GF_OPEX,0,COLUMN())-INDEX(SP_GF_IE,0,COLUMN())-INDEX(SP_GF_OI,0,COLUMN())-INDEX(SP_GF_OTI,0,COLUMN())</f>
        <v>2170</v>
      </c>
      <c r="BG35" s="141">
        <f t="shared" si="71"/>
        <v>2019</v>
      </c>
      <c r="BH35" s="777">
        <f>INDEX(SP_GF_Rev,0,COLUMN())-INDEX(SP_GF_OPEX,0,COLUMN())-INDEX(SP_GF_IE,0,COLUMN())-INDEX(SP_GF_OI,0,COLUMN())-INDEX(SP_GF_OTI,0,COLUMN())</f>
        <v>92</v>
      </c>
      <c r="BI35" s="141">
        <f t="shared" si="71"/>
        <v>854.97370102732293</v>
      </c>
      <c r="BJ35" s="1016">
        <f t="shared" si="71"/>
        <v>5135.9737010273202</v>
      </c>
      <c r="BK35" s="141">
        <f t="shared" si="72" ref="BK35:BR35">INDEX(SP_GF_Rev,0,COLUMN())-INDEX(SP_GF_OPEX,0,COLUMN())-INDEX(SP_GF_IE,0,COLUMN())-INDEX(SP_GF_OI,0,COLUMN())-INDEX(SP_GF_OTI,0,COLUMN())</f>
        <v>980.47031442602702</v>
      </c>
      <c r="BL35" s="141">
        <f t="shared" si="72"/>
        <v>1025.7531150465752</v>
      </c>
      <c r="BM35" s="141">
        <f t="shared" si="72"/>
        <v>960.08128116821865</v>
      </c>
      <c r="BN35" s="141">
        <f t="shared" si="72"/>
        <v>1099.5758841393433</v>
      </c>
      <c r="BO35" s="1016">
        <f t="shared" si="72"/>
        <v>4065.8805947801652</v>
      </c>
      <c r="BP35" s="1016">
        <f t="shared" si="72"/>
        <v>4020.745872585047</v>
      </c>
      <c r="BQ35" s="1016">
        <f t="shared" si="72"/>
        <v>3858.1800999136635</v>
      </c>
      <c r="BR35" s="1016">
        <f t="shared" si="72"/>
        <v>3897.0122766619647</v>
      </c>
      <c r="BS35" s="448"/>
    </row>
    <row r="36" spans="1:71" ht="15" customHeight="1">
      <c r="A36" s="205" t="s">
        <v>254</v>
      </c>
      <c r="B36" s="202"/>
      <c r="C36" s="1003">
        <f t="shared" si="73" ref="C36:AZ36">INDEX(MO_RIS_Tax_Current,0,COLUMN())+INDEX(MO_RIS_Tax_Deferred,0,COLUMN())</f>
        <v>738</v>
      </c>
      <c r="D36" s="1003">
        <f t="shared" si="73"/>
        <v>1241</v>
      </c>
      <c r="E36" s="1003">
        <f t="shared" si="73"/>
        <v>1013</v>
      </c>
      <c r="F36" s="1003">
        <f t="shared" si="73"/>
        <v>1436</v>
      </c>
      <c r="G36" s="1003">
        <f t="shared" si="73"/>
        <v>1658</v>
      </c>
      <c r="H36" s="139">
        <f t="shared" si="73"/>
        <v>372</v>
      </c>
      <c r="I36" s="139">
        <f t="shared" si="73"/>
        <v>428</v>
      </c>
      <c r="J36" s="139">
        <f t="shared" si="73"/>
        <v>368</v>
      </c>
      <c r="K36" s="139">
        <f t="shared" si="73"/>
        <v>372</v>
      </c>
      <c r="L36" s="1003">
        <f t="shared" si="73"/>
        <v>1540</v>
      </c>
      <c r="M36" s="139">
        <f t="shared" si="73"/>
        <v>350</v>
      </c>
      <c r="N36" s="139">
        <f t="shared" si="73"/>
        <v>301</v>
      </c>
      <c r="O36" s="139">
        <f t="shared" si="73"/>
        <v>297</v>
      </c>
      <c r="P36" s="139">
        <f t="shared" si="73"/>
        <v>381</v>
      </c>
      <c r="Q36" s="1003">
        <f t="shared" si="73"/>
        <v>1329</v>
      </c>
      <c r="R36" s="139">
        <f t="shared" si="73"/>
        <v>386</v>
      </c>
      <c r="S36" s="139">
        <f t="shared" si="73"/>
        <v>286</v>
      </c>
      <c r="T36" s="139">
        <f t="shared" si="73"/>
        <v>334</v>
      </c>
      <c r="U36" s="139">
        <f t="shared" si="73"/>
        <v>402</v>
      </c>
      <c r="V36" s="1003">
        <f t="shared" si="73"/>
        <v>1408</v>
      </c>
      <c r="W36" s="139">
        <f t="shared" si="73"/>
        <v>306</v>
      </c>
      <c r="X36" s="139">
        <f t="shared" si="73"/>
        <v>332</v>
      </c>
      <c r="Y36" s="139">
        <f t="shared" si="73"/>
        <v>359</v>
      </c>
      <c r="Z36" s="139">
        <f t="shared" si="73"/>
        <v>-1583</v>
      </c>
      <c r="AA36" s="1003">
        <f t="shared" si="73"/>
        <v>-586</v>
      </c>
      <c r="AB36" s="139">
        <f t="shared" si="73"/>
        <v>265</v>
      </c>
      <c r="AC36" s="139">
        <f t="shared" si="73"/>
        <v>299</v>
      </c>
      <c r="AD36" s="139">
        <f t="shared" si="73"/>
        <v>301</v>
      </c>
      <c r="AE36" s="139">
        <f t="shared" si="73"/>
        <v>198</v>
      </c>
      <c r="AF36" s="1003">
        <f t="shared" si="73"/>
        <v>1063</v>
      </c>
      <c r="AG36" s="139">
        <f t="shared" si="73"/>
        <v>314</v>
      </c>
      <c r="AH36" s="139">
        <f t="shared" si="73"/>
        <v>292</v>
      </c>
      <c r="AI36" s="139">
        <f t="shared" si="73"/>
        <v>259</v>
      </c>
      <c r="AJ36" s="139">
        <f t="shared" si="73"/>
        <v>276</v>
      </c>
      <c r="AK36" s="1003">
        <f t="shared" si="73"/>
        <v>1141</v>
      </c>
      <c r="AL36" s="139">
        <f t="shared" si="73"/>
        <v>154</v>
      </c>
      <c r="AM36" s="139">
        <f t="shared" si="73"/>
        <v>265</v>
      </c>
      <c r="AN36" s="139">
        <f t="shared" si="73"/>
        <v>-1303</v>
      </c>
      <c r="AO36" s="139">
        <f t="shared" si="73"/>
        <v>265</v>
      </c>
      <c r="AP36" s="1003">
        <f t="shared" si="73"/>
        <v>-619</v>
      </c>
      <c r="AQ36" s="139">
        <f t="shared" si="73"/>
        <v>310</v>
      </c>
      <c r="AR36" s="139">
        <f t="shared" si="73"/>
        <v>268</v>
      </c>
      <c r="AS36" s="139">
        <f t="shared" si="73"/>
        <v>225</v>
      </c>
      <c r="AT36" s="139">
        <f t="shared" si="73"/>
        <v>194</v>
      </c>
      <c r="AU36" s="1003">
        <f t="shared" si="73"/>
        <v>997</v>
      </c>
      <c r="AV36" s="139">
        <f t="shared" si="73"/>
        <v>247</v>
      </c>
      <c r="AW36" s="139">
        <f t="shared" si="73"/>
        <v>314</v>
      </c>
      <c r="AX36" s="139">
        <f t="shared" si="73"/>
        <v>-452</v>
      </c>
      <c r="AY36" s="139">
        <f t="shared" si="73"/>
        <v>342</v>
      </c>
      <c r="AZ36" s="1003">
        <f t="shared" si="73"/>
        <v>451</v>
      </c>
      <c r="BA36" s="139">
        <f t="shared" si="74" ref="BA36:BE36">INDEX(MO_RIS_Tax_Current,0,COLUMN())+INDEX(MO_RIS_Tax_Deferred,0,COLUMN())</f>
        <v>154</v>
      </c>
      <c r="BB36" s="139">
        <f t="shared" si="74"/>
        <v>191</v>
      </c>
      <c r="BC36" s="139">
        <f>INDEX(MO_RIS_Tax_Current,0,COLUMN())+INDEX(MO_RIS_Tax_Deferred,0,COLUMN())</f>
        <v>236</v>
      </c>
      <c r="BD36" s="139">
        <f t="shared" si="74"/>
        <v>22</v>
      </c>
      <c r="BE36" s="1003">
        <f t="shared" si="74"/>
        <v>603</v>
      </c>
      <c r="BF36" s="139">
        <f t="shared" si="75" ref="BF36:BJ36">INDEX(MO_RIS_Tax_Current,0,COLUMN())+INDEX(MO_RIS_Tax_Deferred,0,COLUMN())</f>
        <v>291</v>
      </c>
      <c r="BG36" s="139">
        <f t="shared" si="75"/>
        <v>264</v>
      </c>
      <c r="BH36" s="750">
        <f>INDEX(MO_RIS_Tax_Current,0,COLUMN())+INDEX(MO_RIS_Tax_Deferred,0,COLUMN())</f>
        <v>185</v>
      </c>
      <c r="BI36" s="139">
        <f t="shared" si="75"/>
        <v>8.5497370102732297</v>
      </c>
      <c r="BJ36" s="1003">
        <f t="shared" si="75"/>
        <v>748.54973701027325</v>
      </c>
      <c r="BK36" s="139">
        <f t="shared" si="76" ref="BK36:BR36">INDEX(MO_RIS_Tax_Current,0,COLUMN())+INDEX(MO_RIS_Tax_Deferred,0,COLUMN())</f>
        <v>9.8047031442602712</v>
      </c>
      <c r="BL36" s="139">
        <f t="shared" si="76"/>
        <v>51.28765575232876</v>
      </c>
      <c r="BM36" s="139">
        <f t="shared" si="76"/>
        <v>9.6008128116821858</v>
      </c>
      <c r="BN36" s="139">
        <f t="shared" si="76"/>
        <v>54.978794206967159</v>
      </c>
      <c r="BO36" s="1003">
        <f t="shared" si="76"/>
        <v>125.67196591523839</v>
      </c>
      <c r="BP36" s="1003">
        <f t="shared" si="76"/>
        <v>-160.82983490340186</v>
      </c>
      <c r="BQ36" s="1003">
        <f t="shared" si="76"/>
        <v>-270.07260699395641</v>
      </c>
      <c r="BR36" s="1003">
        <f t="shared" si="76"/>
        <v>779.40245533239283</v>
      </c>
      <c r="BS36" s="139"/>
    </row>
    <row r="37" spans="1:71" ht="15" customHeight="1">
      <c r="A37" s="205" t="str">
        <f>INDEX(MO_RIS_EI,0,COLUMN())</f>
        <v>Earnings from Equity Investments</v>
      </c>
      <c r="B37" s="202"/>
      <c r="C37" s="1003">
        <f t="shared" si="77" ref="C37:AZ37">INDEX(MO_RIS_EI,0,COLUMN())</f>
        <v>0</v>
      </c>
      <c r="D37" s="1003">
        <f t="shared" si="77"/>
        <v>0</v>
      </c>
      <c r="E37" s="1003">
        <f t="shared" si="77"/>
        <v>0</v>
      </c>
      <c r="F37" s="1003">
        <f t="shared" si="77"/>
        <v>0</v>
      </c>
      <c r="G37" s="1003">
        <f t="shared" si="77"/>
        <v>0</v>
      </c>
      <c r="H37" s="139">
        <f t="shared" si="77"/>
        <v>0</v>
      </c>
      <c r="I37" s="139">
        <f t="shared" si="77"/>
        <v>0</v>
      </c>
      <c r="J37" s="139">
        <f t="shared" si="77"/>
        <v>0</v>
      </c>
      <c r="K37" s="139">
        <f t="shared" si="77"/>
        <v>0</v>
      </c>
      <c r="L37" s="1003">
        <f t="shared" si="77"/>
        <v>0</v>
      </c>
      <c r="M37" s="139">
        <f t="shared" si="77"/>
        <v>0</v>
      </c>
      <c r="N37" s="139">
        <f t="shared" si="77"/>
        <v>0</v>
      </c>
      <c r="O37" s="139">
        <f t="shared" si="77"/>
        <v>0</v>
      </c>
      <c r="P37" s="139">
        <f t="shared" si="77"/>
        <v>0</v>
      </c>
      <c r="Q37" s="1003">
        <f t="shared" si="77"/>
        <v>0</v>
      </c>
      <c r="R37" s="139">
        <f t="shared" si="77"/>
        <v>0</v>
      </c>
      <c r="S37" s="139">
        <f t="shared" si="77"/>
        <v>0</v>
      </c>
      <c r="T37" s="139">
        <f t="shared" si="77"/>
        <v>0</v>
      </c>
      <c r="U37" s="139">
        <f t="shared" si="77"/>
        <v>0</v>
      </c>
      <c r="V37" s="1003">
        <f t="shared" si="77"/>
        <v>0</v>
      </c>
      <c r="W37" s="139">
        <f t="shared" si="77"/>
        <v>0</v>
      </c>
      <c r="X37" s="139">
        <f t="shared" si="77"/>
        <v>0</v>
      </c>
      <c r="Y37" s="139">
        <f t="shared" si="77"/>
        <v>0</v>
      </c>
      <c r="Z37" s="139">
        <f t="shared" si="77"/>
        <v>0</v>
      </c>
      <c r="AA37" s="1003">
        <f t="shared" si="77"/>
        <v>0</v>
      </c>
      <c r="AB37" s="139">
        <f t="shared" si="77"/>
        <v>0</v>
      </c>
      <c r="AC37" s="139">
        <f t="shared" si="77"/>
        <v>0</v>
      </c>
      <c r="AD37" s="139">
        <f t="shared" si="77"/>
        <v>0</v>
      </c>
      <c r="AE37" s="139">
        <f t="shared" si="77"/>
        <v>0</v>
      </c>
      <c r="AF37" s="1003">
        <f t="shared" si="77"/>
        <v>0</v>
      </c>
      <c r="AG37" s="139">
        <f t="shared" si="77"/>
        <v>0</v>
      </c>
      <c r="AH37" s="139">
        <f t="shared" si="77"/>
        <v>0</v>
      </c>
      <c r="AI37" s="139">
        <f t="shared" si="77"/>
        <v>0</v>
      </c>
      <c r="AJ37" s="139">
        <f t="shared" si="77"/>
        <v>0</v>
      </c>
      <c r="AK37" s="1003">
        <f t="shared" si="77"/>
        <v>0</v>
      </c>
      <c r="AL37" s="139">
        <f t="shared" si="77"/>
        <v>0</v>
      </c>
      <c r="AM37" s="139">
        <f t="shared" si="77"/>
        <v>0</v>
      </c>
      <c r="AN37" s="139">
        <f t="shared" si="77"/>
        <v>0</v>
      </c>
      <c r="AO37" s="139">
        <f t="shared" si="77"/>
        <v>0</v>
      </c>
      <c r="AP37" s="1003">
        <f t="shared" si="77"/>
        <v>0</v>
      </c>
      <c r="AQ37" s="139">
        <f t="shared" si="77"/>
        <v>0</v>
      </c>
      <c r="AR37" s="139">
        <f t="shared" si="77"/>
        <v>0</v>
      </c>
      <c r="AS37" s="139">
        <f t="shared" si="77"/>
        <v>0</v>
      </c>
      <c r="AT37" s="139">
        <f t="shared" si="77"/>
        <v>0</v>
      </c>
      <c r="AU37" s="1003">
        <f t="shared" si="77"/>
        <v>0</v>
      </c>
      <c r="AV37" s="139">
        <f t="shared" si="77"/>
        <v>0</v>
      </c>
      <c r="AW37" s="139">
        <f t="shared" si="77"/>
        <v>0</v>
      </c>
      <c r="AX37" s="139">
        <f t="shared" si="77"/>
        <v>0</v>
      </c>
      <c r="AY37" s="139">
        <f t="shared" si="77"/>
        <v>0</v>
      </c>
      <c r="AZ37" s="1003">
        <f t="shared" si="77"/>
        <v>0</v>
      </c>
      <c r="BA37" s="139">
        <f t="shared" si="78" ref="BA37:BE37">INDEX(MO_RIS_EI,0,COLUMN())</f>
        <v>0</v>
      </c>
      <c r="BB37" s="139">
        <f t="shared" si="78"/>
        <v>0</v>
      </c>
      <c r="BC37" s="139">
        <f>INDEX(MO_RIS_EI,0,COLUMN())</f>
        <v>0</v>
      </c>
      <c r="BD37" s="139">
        <f t="shared" si="78"/>
        <v>0</v>
      </c>
      <c r="BE37" s="1003">
        <f t="shared" si="78"/>
        <v>0</v>
      </c>
      <c r="BF37" s="139">
        <f t="shared" si="79" ref="BF37:BJ37">INDEX(MO_RIS_EI,0,COLUMN())</f>
        <v>0</v>
      </c>
      <c r="BG37" s="139">
        <f t="shared" si="79"/>
        <v>0</v>
      </c>
      <c r="BH37" s="750">
        <f>INDEX(MO_RIS_EI,0,COLUMN())</f>
        <v>0</v>
      </c>
      <c r="BI37" s="139">
        <f t="shared" si="79"/>
        <v>0</v>
      </c>
      <c r="BJ37" s="1003">
        <f t="shared" si="79"/>
        <v>0</v>
      </c>
      <c r="BK37" s="139">
        <f t="shared" si="80" ref="BK37:BR37">INDEX(MO_RIS_EI,0,COLUMN())</f>
        <v>0</v>
      </c>
      <c r="BL37" s="139">
        <f t="shared" si="80"/>
        <v>0</v>
      </c>
      <c r="BM37" s="139">
        <f t="shared" si="80"/>
        <v>0</v>
      </c>
      <c r="BN37" s="139">
        <f t="shared" si="80"/>
        <v>0</v>
      </c>
      <c r="BO37" s="1003">
        <f t="shared" si="80"/>
        <v>0</v>
      </c>
      <c r="BP37" s="1003">
        <f t="shared" si="80"/>
        <v>0</v>
      </c>
      <c r="BQ37" s="1003">
        <f t="shared" si="80"/>
        <v>0</v>
      </c>
      <c r="BR37" s="1003">
        <f t="shared" si="80"/>
        <v>0</v>
      </c>
      <c r="BS37" s="139"/>
    </row>
    <row r="38" spans="1:71" ht="15" customHeight="1">
      <c r="A38" s="205" t="str">
        <f>INDEX(MO_RIS_DisCont,0,COLUMN())</f>
        <v>Discontinued Operations</v>
      </c>
      <c r="B38" s="202"/>
      <c r="C38" s="1003">
        <f t="shared" si="81" ref="C38:AZ38">INDEX(MO_RIS_DisCont,0,COLUMN())</f>
        <v>0</v>
      </c>
      <c r="D38" s="1003">
        <f t="shared" si="81"/>
        <v>0</v>
      </c>
      <c r="E38" s="1003">
        <f t="shared" si="81"/>
        <v>0</v>
      </c>
      <c r="F38" s="1003">
        <f t="shared" si="81"/>
        <v>0</v>
      </c>
      <c r="G38" s="1003">
        <f t="shared" si="81"/>
        <v>0</v>
      </c>
      <c r="H38" s="139">
        <f t="shared" si="81"/>
        <v>0</v>
      </c>
      <c r="I38" s="139">
        <f t="shared" si="81"/>
        <v>0</v>
      </c>
      <c r="J38" s="139">
        <f t="shared" si="81"/>
        <v>0</v>
      </c>
      <c r="K38" s="139">
        <f t="shared" si="81"/>
        <v>0</v>
      </c>
      <c r="L38" s="1003">
        <f t="shared" si="81"/>
        <v>0</v>
      </c>
      <c r="M38" s="139">
        <f t="shared" si="81"/>
        <v>0</v>
      </c>
      <c r="N38" s="139">
        <f t="shared" si="81"/>
        <v>0</v>
      </c>
      <c r="O38" s="139">
        <f t="shared" si="81"/>
        <v>0</v>
      </c>
      <c r="P38" s="139">
        <f t="shared" si="81"/>
        <v>0</v>
      </c>
      <c r="Q38" s="1003">
        <f t="shared" si="81"/>
        <v>0</v>
      </c>
      <c r="R38" s="139">
        <f t="shared" si="81"/>
        <v>0</v>
      </c>
      <c r="S38" s="139">
        <f t="shared" si="81"/>
        <v>0</v>
      </c>
      <c r="T38" s="139">
        <f t="shared" si="81"/>
        <v>0</v>
      </c>
      <c r="U38" s="139">
        <f t="shared" si="81"/>
        <v>0</v>
      </c>
      <c r="V38" s="1003">
        <f t="shared" si="81"/>
        <v>0</v>
      </c>
      <c r="W38" s="139">
        <f t="shared" si="81"/>
        <v>0</v>
      </c>
      <c r="X38" s="139">
        <f t="shared" si="81"/>
        <v>0</v>
      </c>
      <c r="Y38" s="139">
        <f t="shared" si="81"/>
        <v>0</v>
      </c>
      <c r="Z38" s="139">
        <f t="shared" si="81"/>
        <v>0</v>
      </c>
      <c r="AA38" s="1003">
        <f t="shared" si="81"/>
        <v>0</v>
      </c>
      <c r="AB38" s="139">
        <f t="shared" si="81"/>
        <v>0</v>
      </c>
      <c r="AC38" s="139">
        <f t="shared" si="81"/>
        <v>0</v>
      </c>
      <c r="AD38" s="139">
        <f t="shared" si="81"/>
        <v>0</v>
      </c>
      <c r="AE38" s="139">
        <f t="shared" si="81"/>
        <v>0</v>
      </c>
      <c r="AF38" s="1003">
        <f t="shared" si="81"/>
        <v>0</v>
      </c>
      <c r="AG38" s="139">
        <f t="shared" si="81"/>
        <v>0</v>
      </c>
      <c r="AH38" s="139">
        <f t="shared" si="81"/>
        <v>0</v>
      </c>
      <c r="AI38" s="139">
        <f t="shared" si="81"/>
        <v>0</v>
      </c>
      <c r="AJ38" s="139">
        <f t="shared" si="81"/>
        <v>0</v>
      </c>
      <c r="AK38" s="1003">
        <f t="shared" si="81"/>
        <v>0</v>
      </c>
      <c r="AL38" s="139">
        <f t="shared" si="81"/>
        <v>0</v>
      </c>
      <c r="AM38" s="139">
        <f t="shared" si="81"/>
        <v>0</v>
      </c>
      <c r="AN38" s="139">
        <f t="shared" si="81"/>
        <v>0</v>
      </c>
      <c r="AO38" s="139">
        <f t="shared" si="81"/>
        <v>0</v>
      </c>
      <c r="AP38" s="1003">
        <f t="shared" si="81"/>
        <v>0</v>
      </c>
      <c r="AQ38" s="139">
        <f t="shared" si="81"/>
        <v>0</v>
      </c>
      <c r="AR38" s="139">
        <f t="shared" si="81"/>
        <v>0</v>
      </c>
      <c r="AS38" s="139">
        <f t="shared" si="81"/>
        <v>0</v>
      </c>
      <c r="AT38" s="139">
        <f t="shared" si="81"/>
        <v>0</v>
      </c>
      <c r="AU38" s="1003">
        <f t="shared" si="81"/>
        <v>0</v>
      </c>
      <c r="AV38" s="139">
        <f t="shared" si="81"/>
        <v>0</v>
      </c>
      <c r="AW38" s="139">
        <f t="shared" si="81"/>
        <v>0</v>
      </c>
      <c r="AX38" s="139">
        <f t="shared" si="81"/>
        <v>0</v>
      </c>
      <c r="AY38" s="139">
        <f t="shared" si="81"/>
        <v>0</v>
      </c>
      <c r="AZ38" s="1003">
        <f t="shared" si="81"/>
        <v>0</v>
      </c>
      <c r="BA38" s="139">
        <f t="shared" si="82" ref="BA38:BE38">INDEX(MO_RIS_DisCont,0,COLUMN())</f>
        <v>0</v>
      </c>
      <c r="BB38" s="139">
        <f t="shared" si="82"/>
        <v>0</v>
      </c>
      <c r="BC38" s="139">
        <f>INDEX(MO_RIS_DisCont,0,COLUMN())</f>
        <v>0</v>
      </c>
      <c r="BD38" s="139">
        <f t="shared" si="82"/>
        <v>0</v>
      </c>
      <c r="BE38" s="1003">
        <f t="shared" si="82"/>
        <v>0</v>
      </c>
      <c r="BF38" s="139">
        <f t="shared" si="83" ref="BF38:BJ38">INDEX(MO_RIS_DisCont,0,COLUMN())</f>
        <v>0</v>
      </c>
      <c r="BG38" s="139">
        <f t="shared" si="83"/>
        <v>0</v>
      </c>
      <c r="BH38" s="750">
        <f>INDEX(MO_RIS_DisCont,0,COLUMN())</f>
        <v>0</v>
      </c>
      <c r="BI38" s="139">
        <f t="shared" si="83"/>
        <v>0</v>
      </c>
      <c r="BJ38" s="1003">
        <f t="shared" si="83"/>
        <v>0</v>
      </c>
      <c r="BK38" s="139">
        <f t="shared" si="84" ref="BK38:BR38">INDEX(MO_RIS_DisCont,0,COLUMN())</f>
        <v>0</v>
      </c>
      <c r="BL38" s="139">
        <f t="shared" si="84"/>
        <v>0</v>
      </c>
      <c r="BM38" s="139">
        <f t="shared" si="84"/>
        <v>0</v>
      </c>
      <c r="BN38" s="139">
        <f t="shared" si="84"/>
        <v>0</v>
      </c>
      <c r="BO38" s="1003">
        <f t="shared" si="84"/>
        <v>0</v>
      </c>
      <c r="BP38" s="1003">
        <f t="shared" si="84"/>
        <v>0</v>
      </c>
      <c r="BQ38" s="1003">
        <f t="shared" si="84"/>
        <v>0</v>
      </c>
      <c r="BR38" s="1003">
        <f t="shared" si="84"/>
        <v>0</v>
      </c>
      <c r="BS38" s="139"/>
    </row>
    <row r="39" spans="1:71" ht="15" customHeight="1">
      <c r="A39" s="205" t="str">
        <f>INDEX(MO_RIS_NCI,0,COLUMN())</f>
        <v>Net Income to NCI</v>
      </c>
      <c r="B39" s="202"/>
      <c r="C39" s="1003">
        <f t="shared" si="85" ref="C39:AZ39">INDEX(MO_RIS_NCI,0,COLUMN())</f>
        <v>0</v>
      </c>
      <c r="D39" s="1003">
        <f t="shared" si="85"/>
        <v>0</v>
      </c>
      <c r="E39" s="1003">
        <f t="shared" si="85"/>
        <v>0</v>
      </c>
      <c r="F39" s="1003">
        <f t="shared" si="85"/>
        <v>0</v>
      </c>
      <c r="G39" s="1003">
        <f t="shared" si="85"/>
        <v>0</v>
      </c>
      <c r="H39" s="139">
        <f t="shared" si="85"/>
        <v>0</v>
      </c>
      <c r="I39" s="139">
        <f t="shared" si="85"/>
        <v>0</v>
      </c>
      <c r="J39" s="139">
        <f t="shared" si="85"/>
        <v>0</v>
      </c>
      <c r="K39" s="139">
        <f t="shared" si="85"/>
        <v>0</v>
      </c>
      <c r="L39" s="1003">
        <f t="shared" si="85"/>
        <v>0</v>
      </c>
      <c r="M39" s="139">
        <f t="shared" si="85"/>
        <v>0</v>
      </c>
      <c r="N39" s="139">
        <f t="shared" si="85"/>
        <v>0</v>
      </c>
      <c r="O39" s="139">
        <f t="shared" si="85"/>
        <v>0</v>
      </c>
      <c r="P39" s="139">
        <f t="shared" si="85"/>
        <v>0</v>
      </c>
      <c r="Q39" s="1003">
        <f t="shared" si="85"/>
        <v>0</v>
      </c>
      <c r="R39" s="139">
        <f t="shared" si="85"/>
        <v>0</v>
      </c>
      <c r="S39" s="139">
        <f t="shared" si="85"/>
        <v>0</v>
      </c>
      <c r="T39" s="139">
        <f t="shared" si="85"/>
        <v>0</v>
      </c>
      <c r="U39" s="139">
        <f t="shared" si="85"/>
        <v>0</v>
      </c>
      <c r="V39" s="1003">
        <f t="shared" si="85"/>
        <v>0</v>
      </c>
      <c r="W39" s="139">
        <f t="shared" si="85"/>
        <v>0</v>
      </c>
      <c r="X39" s="139">
        <f t="shared" si="85"/>
        <v>0</v>
      </c>
      <c r="Y39" s="139">
        <f t="shared" si="85"/>
        <v>0</v>
      </c>
      <c r="Z39" s="139">
        <f t="shared" si="85"/>
        <v>0</v>
      </c>
      <c r="AA39" s="1003">
        <f t="shared" si="85"/>
        <v>0</v>
      </c>
      <c r="AB39" s="139">
        <f t="shared" si="85"/>
        <v>0</v>
      </c>
      <c r="AC39" s="139">
        <f t="shared" si="85"/>
        <v>0</v>
      </c>
      <c r="AD39" s="139">
        <f t="shared" si="85"/>
        <v>0</v>
      </c>
      <c r="AE39" s="139">
        <f t="shared" si="85"/>
        <v>0</v>
      </c>
      <c r="AF39" s="1003">
        <f t="shared" si="85"/>
        <v>0</v>
      </c>
      <c r="AG39" s="139">
        <f t="shared" si="85"/>
        <v>0</v>
      </c>
      <c r="AH39" s="139">
        <f t="shared" si="85"/>
        <v>0</v>
      </c>
      <c r="AI39" s="139">
        <f t="shared" si="85"/>
        <v>0</v>
      </c>
      <c r="AJ39" s="139">
        <f t="shared" si="85"/>
        <v>0</v>
      </c>
      <c r="AK39" s="1003">
        <f t="shared" si="85"/>
        <v>0</v>
      </c>
      <c r="AL39" s="139">
        <f t="shared" si="85"/>
        <v>0</v>
      </c>
      <c r="AM39" s="139">
        <f t="shared" si="85"/>
        <v>0</v>
      </c>
      <c r="AN39" s="139">
        <f t="shared" si="85"/>
        <v>0</v>
      </c>
      <c r="AO39" s="139">
        <f t="shared" si="85"/>
        <v>0</v>
      </c>
      <c r="AP39" s="1003">
        <f t="shared" si="85"/>
        <v>0</v>
      </c>
      <c r="AQ39" s="139">
        <f t="shared" si="85"/>
        <v>0</v>
      </c>
      <c r="AR39" s="139">
        <f t="shared" si="85"/>
        <v>0</v>
      </c>
      <c r="AS39" s="139">
        <f t="shared" si="85"/>
        <v>0</v>
      </c>
      <c r="AT39" s="139">
        <f t="shared" si="85"/>
        <v>0</v>
      </c>
      <c r="AU39" s="1003">
        <f t="shared" si="85"/>
        <v>0</v>
      </c>
      <c r="AV39" s="139">
        <f t="shared" si="85"/>
        <v>0</v>
      </c>
      <c r="AW39" s="139">
        <f t="shared" si="85"/>
        <v>0</v>
      </c>
      <c r="AX39" s="139">
        <f t="shared" si="85"/>
        <v>0</v>
      </c>
      <c r="AY39" s="139">
        <f t="shared" si="85"/>
        <v>0</v>
      </c>
      <c r="AZ39" s="1003">
        <f t="shared" si="85"/>
        <v>0</v>
      </c>
      <c r="BA39" s="139">
        <f t="shared" si="86" ref="BA39:BE39">INDEX(MO_RIS_NCI,0,COLUMN())</f>
        <v>0</v>
      </c>
      <c r="BB39" s="139">
        <f t="shared" si="86"/>
        <v>0</v>
      </c>
      <c r="BC39" s="139">
        <f>INDEX(MO_RIS_NCI,0,COLUMN())</f>
        <v>0</v>
      </c>
      <c r="BD39" s="139">
        <f t="shared" si="86"/>
        <v>0</v>
      </c>
      <c r="BE39" s="1003">
        <f t="shared" si="86"/>
        <v>0</v>
      </c>
      <c r="BF39" s="139">
        <f t="shared" si="87" ref="BF39:BJ39">INDEX(MO_RIS_NCI,0,COLUMN())</f>
        <v>0</v>
      </c>
      <c r="BG39" s="139">
        <f t="shared" si="87"/>
        <v>0</v>
      </c>
      <c r="BH39" s="750">
        <f>INDEX(MO_RIS_NCI,0,COLUMN())</f>
        <v>0</v>
      </c>
      <c r="BI39" s="139">
        <f t="shared" si="87"/>
        <v>0</v>
      </c>
      <c r="BJ39" s="1003">
        <f t="shared" si="87"/>
        <v>0</v>
      </c>
      <c r="BK39" s="139">
        <f t="shared" si="88" ref="BK39:BR39">INDEX(MO_RIS_NCI,0,COLUMN())</f>
        <v>0</v>
      </c>
      <c r="BL39" s="139">
        <f t="shared" si="88"/>
        <v>0</v>
      </c>
      <c r="BM39" s="139">
        <f t="shared" si="88"/>
        <v>0</v>
      </c>
      <c r="BN39" s="139">
        <f t="shared" si="88"/>
        <v>0</v>
      </c>
      <c r="BO39" s="1003">
        <f t="shared" si="88"/>
        <v>0</v>
      </c>
      <c r="BP39" s="1003">
        <f t="shared" si="88"/>
        <v>0</v>
      </c>
      <c r="BQ39" s="1003">
        <f t="shared" si="88"/>
        <v>0</v>
      </c>
      <c r="BR39" s="1003">
        <f t="shared" si="88"/>
        <v>0</v>
      </c>
      <c r="BS39" s="139"/>
    </row>
    <row r="40" spans="1:71" ht="15" customHeight="1">
      <c r="A40" s="344" t="str">
        <f>INDEX(MO_RIS_Dividend_Prefs,0,COLUMN())</f>
        <v>Earnings to Preferred and Other Securities</v>
      </c>
      <c r="B40" s="345"/>
      <c r="C40" s="1005">
        <f t="shared" si="89" ref="C40:AZ40">INDEX(MO_RIS_Dividend_Prefs,0,COLUMN())</f>
        <v>0</v>
      </c>
      <c r="D40" s="1005">
        <f t="shared" si="89"/>
        <v>0</v>
      </c>
      <c r="E40" s="1005">
        <f t="shared" si="89"/>
        <v>0</v>
      </c>
      <c r="F40" s="1005">
        <f t="shared" si="89"/>
        <v>0</v>
      </c>
      <c r="G40" s="1005">
        <f t="shared" si="89"/>
        <v>0</v>
      </c>
      <c r="H40" s="347">
        <f t="shared" si="89"/>
        <v>0</v>
      </c>
      <c r="I40" s="347">
        <f t="shared" si="89"/>
        <v>0</v>
      </c>
      <c r="J40" s="347">
        <f t="shared" si="89"/>
        <v>0</v>
      </c>
      <c r="K40" s="347">
        <f t="shared" si="89"/>
        <v>0</v>
      </c>
      <c r="L40" s="1005">
        <f t="shared" si="89"/>
        <v>0</v>
      </c>
      <c r="M40" s="347">
        <f t="shared" si="89"/>
        <v>0</v>
      </c>
      <c r="N40" s="347">
        <f t="shared" si="89"/>
        <v>0</v>
      </c>
      <c r="O40" s="347">
        <f t="shared" si="89"/>
        <v>0</v>
      </c>
      <c r="P40" s="347">
        <f t="shared" si="89"/>
        <v>0</v>
      </c>
      <c r="Q40" s="1005">
        <f t="shared" si="89"/>
        <v>0</v>
      </c>
      <c r="R40" s="347">
        <f t="shared" si="89"/>
        <v>0</v>
      </c>
      <c r="S40" s="347">
        <f t="shared" si="89"/>
        <v>0</v>
      </c>
      <c r="T40" s="347">
        <f t="shared" si="89"/>
        <v>0</v>
      </c>
      <c r="U40" s="347">
        <f t="shared" si="89"/>
        <v>0</v>
      </c>
      <c r="V40" s="1005">
        <f t="shared" si="89"/>
        <v>0</v>
      </c>
      <c r="W40" s="347">
        <f t="shared" si="89"/>
        <v>0</v>
      </c>
      <c r="X40" s="347">
        <f t="shared" si="89"/>
        <v>0</v>
      </c>
      <c r="Y40" s="347">
        <f t="shared" si="89"/>
        <v>0</v>
      </c>
      <c r="Z40" s="347">
        <f t="shared" si="89"/>
        <v>0</v>
      </c>
      <c r="AA40" s="1005">
        <f t="shared" si="89"/>
        <v>0</v>
      </c>
      <c r="AB40" s="347">
        <f t="shared" si="89"/>
        <v>0</v>
      </c>
      <c r="AC40" s="347">
        <f t="shared" si="89"/>
        <v>0</v>
      </c>
      <c r="AD40" s="347">
        <f t="shared" si="89"/>
        <v>0</v>
      </c>
      <c r="AE40" s="347">
        <f t="shared" si="89"/>
        <v>0</v>
      </c>
      <c r="AF40" s="1005">
        <f t="shared" si="89"/>
        <v>0</v>
      </c>
      <c r="AG40" s="347">
        <f t="shared" si="89"/>
        <v>0</v>
      </c>
      <c r="AH40" s="347">
        <f t="shared" si="89"/>
        <v>0</v>
      </c>
      <c r="AI40" s="347">
        <f t="shared" si="89"/>
        <v>0</v>
      </c>
      <c r="AJ40" s="347">
        <f t="shared" si="89"/>
        <v>0</v>
      </c>
      <c r="AK40" s="1005">
        <f t="shared" si="89"/>
        <v>0</v>
      </c>
      <c r="AL40" s="347">
        <f t="shared" si="89"/>
        <v>0</v>
      </c>
      <c r="AM40" s="347">
        <f t="shared" si="89"/>
        <v>0</v>
      </c>
      <c r="AN40" s="347">
        <f t="shared" si="89"/>
        <v>0</v>
      </c>
      <c r="AO40" s="347">
        <f t="shared" si="89"/>
        <v>0</v>
      </c>
      <c r="AP40" s="1005">
        <f t="shared" si="89"/>
        <v>0</v>
      </c>
      <c r="AQ40" s="347">
        <f t="shared" si="89"/>
        <v>0</v>
      </c>
      <c r="AR40" s="347">
        <f t="shared" si="89"/>
        <v>0</v>
      </c>
      <c r="AS40" s="347">
        <f t="shared" si="89"/>
        <v>0</v>
      </c>
      <c r="AT40" s="347">
        <f t="shared" si="89"/>
        <v>0</v>
      </c>
      <c r="AU40" s="1005">
        <f t="shared" si="89"/>
        <v>0</v>
      </c>
      <c r="AV40" s="347">
        <f t="shared" si="89"/>
        <v>0</v>
      </c>
      <c r="AW40" s="347">
        <f t="shared" si="89"/>
        <v>0</v>
      </c>
      <c r="AX40" s="347">
        <f t="shared" si="89"/>
        <v>0</v>
      </c>
      <c r="AY40" s="347">
        <f t="shared" si="89"/>
        <v>0</v>
      </c>
      <c r="AZ40" s="1005">
        <f t="shared" si="89"/>
        <v>0</v>
      </c>
      <c r="BA40" s="347">
        <f t="shared" si="90" ref="BA40:BE40">INDEX(MO_RIS_Dividend_Prefs,0,COLUMN())</f>
        <v>0</v>
      </c>
      <c r="BB40" s="347">
        <f t="shared" si="90"/>
        <v>0</v>
      </c>
      <c r="BC40" s="347">
        <f>INDEX(MO_RIS_Dividend_Prefs,0,COLUMN())</f>
        <v>0</v>
      </c>
      <c r="BD40" s="347">
        <f t="shared" si="90"/>
        <v>0</v>
      </c>
      <c r="BE40" s="1005">
        <f t="shared" si="90"/>
        <v>0</v>
      </c>
      <c r="BF40" s="347">
        <f t="shared" si="91" ref="BF40:BJ40">INDEX(MO_RIS_Dividend_Prefs,0,COLUMN())</f>
        <v>0</v>
      </c>
      <c r="BG40" s="347">
        <f t="shared" si="91"/>
        <v>0</v>
      </c>
      <c r="BH40" s="751">
        <f>INDEX(MO_RIS_Dividend_Prefs,0,COLUMN())</f>
        <v>0</v>
      </c>
      <c r="BI40" s="347">
        <f t="shared" si="91"/>
        <v>0</v>
      </c>
      <c r="BJ40" s="1005">
        <f t="shared" si="91"/>
        <v>0</v>
      </c>
      <c r="BK40" s="347">
        <f t="shared" si="92" ref="BK40:BR40">INDEX(MO_RIS_Dividend_Prefs,0,COLUMN())</f>
        <v>0</v>
      </c>
      <c r="BL40" s="347">
        <f t="shared" si="92"/>
        <v>0</v>
      </c>
      <c r="BM40" s="347">
        <f t="shared" si="92"/>
        <v>0</v>
      </c>
      <c r="BN40" s="347">
        <f t="shared" si="92"/>
        <v>0</v>
      </c>
      <c r="BO40" s="1005">
        <f t="shared" si="92"/>
        <v>0</v>
      </c>
      <c r="BP40" s="1005">
        <f t="shared" si="92"/>
        <v>0</v>
      </c>
      <c r="BQ40" s="1005">
        <f t="shared" si="92"/>
        <v>0</v>
      </c>
      <c r="BR40" s="1005">
        <f t="shared" si="92"/>
        <v>0</v>
      </c>
      <c r="BS40" s="139"/>
    </row>
    <row r="41" spans="1:71" ht="15" customHeight="1">
      <c r="A41" s="200" t="str">
        <f>INDEX(MO_RIS_NI_ContinOp,0,COLUMN())</f>
        <v>Net Income from Continued Operation</v>
      </c>
      <c r="B41" s="206"/>
      <c r="C41" s="1016">
        <f t="shared" si="93" ref="C41:AZ41">INDEX(SP_GF_EBT,0,COLUMN())-INDEX(SP_GF_Tax,0,COLUMN())-INDEX(SP_GF_DisCont,0,COLUMN())-INDEX(SP_GF_NCI,0,COLUMN())-INDEX(SP_GF_Div_Prefs,0,COLUMN())-INDEX(SP_GF_EI,0,COLUMN())</f>
        <v>1497</v>
      </c>
      <c r="D41" s="1016">
        <f t="shared" si="93"/>
        <v>2344</v>
      </c>
      <c r="E41" s="1016">
        <f t="shared" si="93"/>
        <v>1937</v>
      </c>
      <c r="F41" s="1016">
        <f t="shared" si="93"/>
        <v>2866</v>
      </c>
      <c r="G41" s="1016">
        <f t="shared" si="93"/>
        <v>3158</v>
      </c>
      <c r="H41" s="141">
        <f t="shared" si="93"/>
        <v>732</v>
      </c>
      <c r="I41" s="141">
        <f t="shared" si="93"/>
        <v>810</v>
      </c>
      <c r="J41" s="141">
        <f t="shared" si="93"/>
        <v>706</v>
      </c>
      <c r="K41" s="141">
        <f t="shared" si="93"/>
        <v>703</v>
      </c>
      <c r="L41" s="1016">
        <f t="shared" si="93"/>
        <v>2951</v>
      </c>
      <c r="M41" s="141">
        <f t="shared" si="93"/>
        <v>663</v>
      </c>
      <c r="N41" s="141">
        <f t="shared" si="93"/>
        <v>573</v>
      </c>
      <c r="O41" s="141">
        <f t="shared" si="93"/>
        <v>567</v>
      </c>
      <c r="P41" s="141">
        <f t="shared" si="93"/>
        <v>730</v>
      </c>
      <c r="Q41" s="1016">
        <f t="shared" si="93"/>
        <v>2533</v>
      </c>
      <c r="R41" s="141">
        <f t="shared" si="93"/>
        <v>731</v>
      </c>
      <c r="S41" s="141">
        <f t="shared" si="93"/>
        <v>548</v>
      </c>
      <c r="T41" s="141">
        <f t="shared" si="93"/>
        <v>629</v>
      </c>
      <c r="U41" s="141">
        <f t="shared" si="93"/>
        <v>751</v>
      </c>
      <c r="V41" s="1016">
        <f t="shared" si="93"/>
        <v>2659</v>
      </c>
      <c r="W41" s="141">
        <f t="shared" si="93"/>
        <v>592</v>
      </c>
      <c r="X41" s="141">
        <f t="shared" si="93"/>
        <v>713</v>
      </c>
      <c r="Y41" s="141">
        <f t="shared" si="93"/>
        <v>716</v>
      </c>
      <c r="Z41" s="141">
        <f t="shared" si="93"/>
        <v>2583</v>
      </c>
      <c r="AA41" s="1016">
        <f t="shared" si="93"/>
        <v>4604</v>
      </c>
      <c r="AB41" s="141">
        <f t="shared" si="93"/>
        <v>717</v>
      </c>
      <c r="AC41" s="141">
        <f t="shared" si="93"/>
        <v>832</v>
      </c>
      <c r="AD41" s="141">
        <f t="shared" si="93"/>
        <v>845</v>
      </c>
      <c r="AE41" s="141">
        <f t="shared" si="93"/>
        <v>526</v>
      </c>
      <c r="AF41" s="1016">
        <f t="shared" si="93"/>
        <v>2920</v>
      </c>
      <c r="AG41" s="141">
        <f t="shared" si="93"/>
        <v>928</v>
      </c>
      <c r="AH41" s="141">
        <f t="shared" si="93"/>
        <v>817</v>
      </c>
      <c r="AI41" s="141">
        <f t="shared" si="93"/>
        <v>777</v>
      </c>
      <c r="AJ41" s="141">
        <f t="shared" si="93"/>
        <v>782</v>
      </c>
      <c r="AK41" s="1016">
        <f t="shared" si="93"/>
        <v>3304</v>
      </c>
      <c r="AL41" s="141">
        <f t="shared" si="93"/>
        <v>566</v>
      </c>
      <c r="AM41" s="141">
        <f t="shared" si="93"/>
        <v>805</v>
      </c>
      <c r="AN41" s="141">
        <f t="shared" si="93"/>
        <v>2456</v>
      </c>
      <c r="AO41" s="141">
        <f t="shared" si="93"/>
        <v>951</v>
      </c>
      <c r="AP41" s="1016">
        <f t="shared" si="93"/>
        <v>4778</v>
      </c>
      <c r="AQ41" s="141">
        <f t="shared" si="93"/>
        <v>1293</v>
      </c>
      <c r="AR41" s="141">
        <f t="shared" si="93"/>
        <v>1105</v>
      </c>
      <c r="AS41" s="141">
        <f t="shared" si="93"/>
        <v>888</v>
      </c>
      <c r="AT41" s="141">
        <f t="shared" si="93"/>
        <v>1039</v>
      </c>
      <c r="AU41" s="1016">
        <f t="shared" si="93"/>
        <v>4325</v>
      </c>
      <c r="AV41" s="141">
        <f t="shared" si="93"/>
        <v>1047</v>
      </c>
      <c r="AW41" s="141">
        <f t="shared" si="93"/>
        <v>1394</v>
      </c>
      <c r="AX41" s="141">
        <f t="shared" si="93"/>
        <v>1781</v>
      </c>
      <c r="AY41" s="141">
        <f t="shared" si="93"/>
        <v>196</v>
      </c>
      <c r="AZ41" s="1016">
        <f t="shared" si="93"/>
        <v>4418</v>
      </c>
      <c r="BA41" s="141">
        <f t="shared" si="94" ref="BA41:BE41">INDEX(SP_GF_EBT,0,COLUMN())-INDEX(SP_GF_Tax,0,COLUMN())-INDEX(SP_GF_DisCont,0,COLUMN())-INDEX(SP_GF_NCI,0,COLUMN())-INDEX(SP_GF_Div_Prefs,0,COLUMN())-INDEX(SP_GF_EI,0,COLUMN())</f>
        <v>1188</v>
      </c>
      <c r="BB41" s="141">
        <f t="shared" si="94"/>
        <v>1634</v>
      </c>
      <c r="BC41" s="141">
        <f>INDEX(SP_GF_EBT,0,COLUMN())-INDEX(SP_GF_Tax,0,COLUMN())-INDEX(SP_GF_DisCont,0,COLUMN())-INDEX(SP_GF_NCI,0,COLUMN())-INDEX(SP_GF_Div_Prefs,0,COLUMN())-INDEX(SP_GF_EI,0,COLUMN())</f>
        <v>1569</v>
      </c>
      <c r="BD41" s="141">
        <f t="shared" si="94"/>
        <v>268</v>
      </c>
      <c r="BE41" s="1016">
        <f t="shared" si="94"/>
        <v>4659</v>
      </c>
      <c r="BF41" s="141">
        <f t="shared" si="95" ref="BF41:BJ41">INDEX(SP_GF_EBT,0,COLUMN())-INDEX(SP_GF_Tax,0,COLUMN())-INDEX(SP_GF_DisCont,0,COLUMN())-INDEX(SP_GF_NCI,0,COLUMN())-INDEX(SP_GF_Div_Prefs,0,COLUMN())-INDEX(SP_GF_EI,0,COLUMN())</f>
        <v>1879</v>
      </c>
      <c r="BG41" s="141">
        <f t="shared" si="95"/>
        <v>1755</v>
      </c>
      <c r="BH41" s="777">
        <f>INDEX(SP_GF_EBT,0,COLUMN())-INDEX(SP_GF_Tax,0,COLUMN())-INDEX(SP_GF_DisCont,0,COLUMN())-INDEX(SP_GF_NCI,0,COLUMN())-INDEX(SP_GF_Div_Prefs,0,COLUMN())-INDEX(SP_GF_EI,0,COLUMN())</f>
        <v>-93</v>
      </c>
      <c r="BI41" s="141">
        <f t="shared" si="95"/>
        <v>846.42396401704968</v>
      </c>
      <c r="BJ41" s="1016">
        <f t="shared" si="95"/>
        <v>4387.4239640170472</v>
      </c>
      <c r="BK41" s="141">
        <f t="shared" si="96" ref="BK41:BR41">INDEX(SP_GF_EBT,0,COLUMN())-INDEX(SP_GF_Tax,0,COLUMN())-INDEX(SP_GF_DisCont,0,COLUMN())-INDEX(SP_GF_NCI,0,COLUMN())-INDEX(SP_GF_Div_Prefs,0,COLUMN())-INDEX(SP_GF_EI,0,COLUMN())</f>
        <v>970.6656112817667</v>
      </c>
      <c r="BL41" s="141">
        <f t="shared" si="96"/>
        <v>974.46545929424644</v>
      </c>
      <c r="BM41" s="141">
        <f t="shared" si="96"/>
        <v>950.48046835653645</v>
      </c>
      <c r="BN41" s="141">
        <f t="shared" si="96"/>
        <v>1044.5970899323761</v>
      </c>
      <c r="BO41" s="1016">
        <f t="shared" si="96"/>
        <v>3940.2086288649271</v>
      </c>
      <c r="BP41" s="1016">
        <f t="shared" si="96"/>
        <v>4181.5757074884486</v>
      </c>
      <c r="BQ41" s="1016">
        <f t="shared" si="96"/>
        <v>4128.2527069076195</v>
      </c>
      <c r="BR41" s="1016">
        <f t="shared" si="96"/>
        <v>3117.6098213295718</v>
      </c>
      <c r="BS41" s="448"/>
    </row>
    <row r="42" spans="1:71" ht="15" customHeight="1">
      <c r="A42" s="207" t="str">
        <f>INDEX(MO_RIS_EPS_WAD,0,COLUMN())</f>
        <v>Earnings Per Share - WAD</v>
      </c>
      <c r="B42" s="208"/>
      <c r="C42" s="1086">
        <f t="shared" si="97" ref="C42:AH42">INDEX(MO_RIS_EPS_WAD,0,COLUMN())</f>
        <v>1.5957344748999602</v>
      </c>
      <c r="D42" s="1086">
        <f t="shared" si="97"/>
        <v>2.4773560776604628</v>
      </c>
      <c r="E42" s="1086">
        <f t="shared" si="97"/>
        <v>2.0634041374608518</v>
      </c>
      <c r="F42" s="1086">
        <f t="shared" si="97"/>
        <v>3.0535684985946769</v>
      </c>
      <c r="G42" s="1086">
        <f t="shared" si="97"/>
        <v>3.3782049087734913</v>
      </c>
      <c r="H42" s="145">
        <f t="shared" si="97"/>
        <v>0.79965217315309844</v>
      </c>
      <c r="I42" s="145">
        <f t="shared" si="97"/>
        <v>0.88936712196407397</v>
      </c>
      <c r="J42" s="145">
        <f t="shared" si="97"/>
        <v>0.77756558093840933</v>
      </c>
      <c r="K42" s="145">
        <f t="shared" si="97"/>
        <v>0.78279847671647784</v>
      </c>
      <c r="L42" s="1086">
        <f t="shared" si="97"/>
        <v>3.25</v>
      </c>
      <c r="M42" s="145">
        <f t="shared" si="97"/>
        <v>0.75353410906809537</v>
      </c>
      <c r="N42" s="145">
        <f t="shared" si="97"/>
        <v>0.65974756883596575</v>
      </c>
      <c r="O42" s="145">
        <f t="shared" si="97"/>
        <v>0.6576169908745495</v>
      </c>
      <c r="P42" s="145">
        <f t="shared" si="97"/>
        <v>0.8536893412792711</v>
      </c>
      <c r="Q42" s="1086">
        <f t="shared" si="97"/>
        <v>2.9237808537947974</v>
      </c>
      <c r="R42" s="145">
        <f t="shared" si="97"/>
        <v>0.86833602584814218</v>
      </c>
      <c r="S42" s="145">
        <f t="shared" si="97"/>
        <v>0.66131500316176151</v>
      </c>
      <c r="T42" s="145">
        <f t="shared" si="97"/>
        <v>0.76494624702047964</v>
      </c>
      <c r="U42" s="145">
        <f t="shared" si="97"/>
        <v>0.91724070545703262</v>
      </c>
      <c r="V42" s="1086">
        <f t="shared" si="97"/>
        <v>3.2119655683089285</v>
      </c>
      <c r="W42" s="145">
        <f t="shared" si="97"/>
        <v>0.73254815390440742</v>
      </c>
      <c r="X42" s="145">
        <f t="shared" si="97"/>
        <v>0.8927051093282049</v>
      </c>
      <c r="Y42" s="145">
        <f t="shared" si="97"/>
        <v>0.90089863380483726</v>
      </c>
      <c r="Z42" s="145">
        <f t="shared" si="97"/>
        <v>3.2692891859052247</v>
      </c>
      <c r="AA42" s="1086">
        <f t="shared" si="97"/>
        <v>5.7704359160755017</v>
      </c>
      <c r="AB42" s="145">
        <f t="shared" si="97"/>
        <v>0.91471349183264195</v>
      </c>
      <c r="AC42" s="145">
        <f t="shared" si="97"/>
        <v>1.0696740965303733</v>
      </c>
      <c r="AD42" s="145">
        <f t="shared" si="97"/>
        <v>1.0944603468597407</v>
      </c>
      <c r="AE42" s="145">
        <f t="shared" si="97"/>
        <v>0.68748913544973689</v>
      </c>
      <c r="AF42" s="1086">
        <f t="shared" si="97"/>
        <v>3.7694442651520044</v>
      </c>
      <c r="AG42" s="145">
        <f t="shared" si="97"/>
        <v>1.227854298151603</v>
      </c>
      <c r="AH42" s="145">
        <f t="shared" si="97"/>
        <v>1.0910076664320845</v>
      </c>
      <c r="AI42" s="145">
        <f t="shared" si="98" ref="AI42:BE42">INDEX(MO_RIS_EPS_WAD,0,COLUMN())</f>
        <v>1.0445766708521433</v>
      </c>
      <c r="AJ42" s="145">
        <f t="shared" si="98"/>
        <v>1.0603921823874554</v>
      </c>
      <c r="AK42" s="1086">
        <f t="shared" si="98"/>
        <v>4.4264030116688771</v>
      </c>
      <c r="AL42" s="145">
        <f t="shared" si="98"/>
        <v>0.77799403996085292</v>
      </c>
      <c r="AM42" s="145">
        <f t="shared" si="98"/>
        <v>1.1184221494823303</v>
      </c>
      <c r="AN42" s="145">
        <f t="shared" si="98"/>
        <v>3.4407734455227215</v>
      </c>
      <c r="AO42" s="145">
        <f t="shared" si="98"/>
        <v>1.3511228811452294</v>
      </c>
      <c r="AP42" s="1086">
        <f t="shared" si="98"/>
        <v>6.6713953800098293</v>
      </c>
      <c r="AQ42" s="145">
        <f t="shared" si="98"/>
        <v>1.8686591322947075</v>
      </c>
      <c r="AR42" s="145">
        <f t="shared" si="98"/>
        <v>1.6228044410503437</v>
      </c>
      <c r="AS42" s="145">
        <f t="shared" si="98"/>
        <v>1.3215760687576739</v>
      </c>
      <c r="AT42" s="145">
        <f t="shared" si="98"/>
        <v>1.5682734803294129</v>
      </c>
      <c r="AU42" s="1086">
        <f t="shared" si="98"/>
        <v>6.3910368847795791</v>
      </c>
      <c r="AV42" s="145">
        <f t="shared" si="98"/>
        <v>1.6037939607277272</v>
      </c>
      <c r="AW42" s="145">
        <f t="shared" si="98"/>
        <v>2.1671436766509702</v>
      </c>
      <c r="AX42" s="145">
        <f t="shared" si="98"/>
        <v>2.8182787769841093</v>
      </c>
      <c r="AY42" s="145">
        <f t="shared" si="98"/>
        <v>0.31460977152267916</v>
      </c>
      <c r="AZ42" s="1086">
        <f t="shared" si="98"/>
        <v>6.9285114991649088</v>
      </c>
      <c r="BA42" s="145">
        <f t="shared" si="98"/>
        <v>1.9350109943806497</v>
      </c>
      <c r="BB42" s="145">
        <f t="shared" si="98"/>
        <v>2.7101035113587173</v>
      </c>
      <c r="BC42" s="145">
        <f>INDEX(MO_RIS_EPS_WAD,0,COLUMN())</f>
        <v>2.643211881481681</v>
      </c>
      <c r="BD42" s="145">
        <f t="shared" si="98"/>
        <v>0.45821286723282173</v>
      </c>
      <c r="BE42" s="1086">
        <f t="shared" si="98"/>
        <v>7.7812758352888123</v>
      </c>
      <c r="BF42" s="145">
        <f t="shared" si="99" ref="BF42:BJ42">INDEX(MO_RIS_EPS_WAD,0,COLUMN())</f>
        <v>3.2537810702324923</v>
      </c>
      <c r="BG42" s="145">
        <f t="shared" si="99"/>
        <v>3.0961227017243025</v>
      </c>
      <c r="BH42" s="778">
        <f>INDEX(MO_RIS_EPS_WAD,0,COLUMN())</f>
        <v>-0.1659487450349206</v>
      </c>
      <c r="BI42" s="145">
        <f t="shared" ca="1" si="99"/>
        <v>1.5142756568131399</v>
      </c>
      <c r="BJ42" s="1086">
        <f t="shared" ca="1" si="99"/>
        <v>7.7462728853694021</v>
      </c>
      <c r="BK42" s="145">
        <f ca="1" t="shared" si="100" ref="BK42:BR42">INDEX(MO_RIS_EPS_WAD,0,COLUMN())</f>
        <v>1.7366066019383664</v>
      </c>
      <c r="BL42" s="145">
        <f t="shared" ca="1" si="100"/>
        <v>1.7434048660039088</v>
      </c>
      <c r="BM42" s="145">
        <f t="shared" ca="1" si="100"/>
        <v>1.7004935965350574</v>
      </c>
      <c r="BN42" s="145">
        <f t="shared" ca="1" si="100"/>
        <v>1.8688765540449153</v>
      </c>
      <c r="BO42" s="1086">
        <f t="shared" ca="1" si="100"/>
        <v>7.0493816185222498</v>
      </c>
      <c r="BP42" s="1086">
        <f t="shared" ca="1" si="100"/>
        <v>7.4812086631361865</v>
      </c>
      <c r="BQ42" s="1086">
        <f t="shared" ca="1" si="100"/>
        <v>7.3858091004365756</v>
      </c>
      <c r="BR42" s="1086">
        <f t="shared" ca="1" si="100"/>
        <v>5.577679620110926</v>
      </c>
      <c r="BS42" s="145"/>
    </row>
    <row r="43" spans="1:71" ht="15">
      <c r="A43" s="658" t="str">
        <f>INDEX(MO_RIS_ShareCount_WAD_Adj,0,COLUMN())</f>
        <v>Adjusted Shares Outstanding - WAD</v>
      </c>
      <c r="B43" s="195"/>
      <c r="C43" s="262">
        <f t="shared" si="101" ref="C43:AH43">INDEX(MO_RIS_ShareCount_WAD_Adj,0,COLUMN())</f>
        <v>938.12599999999998</v>
      </c>
      <c r="D43" s="262">
        <f t="shared" si="101"/>
        <v>946.17</v>
      </c>
      <c r="E43" s="262">
        <f t="shared" si="101"/>
        <v>938.74</v>
      </c>
      <c r="F43" s="262">
        <f t="shared" si="101"/>
        <v>938.57399999999996</v>
      </c>
      <c r="G43" s="262">
        <f t="shared" si="101"/>
        <v>934.81600000000003</v>
      </c>
      <c r="H43" s="870">
        <f t="shared" si="101"/>
        <v>915.39800000000002</v>
      </c>
      <c r="I43" s="870">
        <f t="shared" si="101"/>
        <v>910.76</v>
      </c>
      <c r="J43" s="870">
        <f t="shared" si="101"/>
        <v>907.96199999999999</v>
      </c>
      <c r="K43" s="870">
        <f t="shared" si="101"/>
        <v>898.06</v>
      </c>
      <c r="L43" s="262">
        <f t="shared" si="101"/>
        <v>908</v>
      </c>
      <c r="M43" s="870">
        <f t="shared" si="101"/>
        <v>879.85400000000004</v>
      </c>
      <c r="N43" s="870">
        <f t="shared" si="101"/>
        <v>868.51400000000001</v>
      </c>
      <c r="O43" s="870">
        <f t="shared" si="101"/>
        <v>862.20399999999995</v>
      </c>
      <c r="P43" s="870">
        <f t="shared" si="101"/>
        <v>855.11199999999997</v>
      </c>
      <c r="Q43" s="262">
        <f t="shared" si="101"/>
        <v>866.34400000000005</v>
      </c>
      <c r="R43" s="870">
        <f t="shared" si="101"/>
        <v>841.84</v>
      </c>
      <c r="S43" s="870">
        <f t="shared" si="101"/>
        <v>828.65200000000004</v>
      </c>
      <c r="T43" s="870">
        <f t="shared" si="101"/>
        <v>822.28</v>
      </c>
      <c r="U43" s="870">
        <f t="shared" si="101"/>
        <v>818.76</v>
      </c>
      <c r="V43" s="262">
        <f t="shared" si="101"/>
        <v>827.84199999999998</v>
      </c>
      <c r="W43" s="870">
        <f t="shared" si="101"/>
        <v>808.13800000000003</v>
      </c>
      <c r="X43" s="870">
        <f t="shared" si="101"/>
        <v>798.69600000000003</v>
      </c>
      <c r="Y43" s="870">
        <f t="shared" si="101"/>
        <v>794.76199999999994</v>
      </c>
      <c r="Z43" s="870">
        <f t="shared" si="101"/>
        <v>790.08</v>
      </c>
      <c r="AA43" s="262">
        <f t="shared" si="101"/>
        <v>797.86</v>
      </c>
      <c r="AB43" s="870">
        <f t="shared" si="101"/>
        <v>783.85199999999998</v>
      </c>
      <c r="AC43" s="870">
        <f t="shared" si="101"/>
        <v>777.80700000000002</v>
      </c>
      <c r="AD43" s="870">
        <f t="shared" si="101"/>
        <v>772.07</v>
      </c>
      <c r="AE43" s="870">
        <f t="shared" si="101"/>
        <v>765.10299999999995</v>
      </c>
      <c r="AF43" s="262">
        <f t="shared" si="101"/>
        <v>774.65</v>
      </c>
      <c r="AG43" s="870">
        <f t="shared" si="101"/>
        <v>755.79</v>
      </c>
      <c r="AH43" s="870">
        <f t="shared" si="101"/>
        <v>748.84900000000005</v>
      </c>
      <c r="AI43" s="870">
        <f t="shared" si="102" ref="AI43:BJ43">INDEX(MO_RIS_ShareCount_WAD_Adj,0,COLUMN())</f>
        <v>743.84199999999998</v>
      </c>
      <c r="AJ43" s="870">
        <f t="shared" si="102"/>
        <v>737.46299999999997</v>
      </c>
      <c r="AK43" s="262">
        <f t="shared" si="102"/>
        <v>746.43</v>
      </c>
      <c r="AL43" s="870">
        <f t="shared" si="102"/>
        <v>727.51199999999994</v>
      </c>
      <c r="AM43" s="870">
        <f t="shared" si="102"/>
        <v>719.76400000000001</v>
      </c>
      <c r="AN43" s="870">
        <f t="shared" si="102"/>
        <v>713.79300000000001</v>
      </c>
      <c r="AO43" s="870">
        <f t="shared" si="102"/>
        <v>703.85900000000004</v>
      </c>
      <c r="AP43" s="262">
        <f t="shared" si="102"/>
        <v>716.19200000000001</v>
      </c>
      <c r="AQ43" s="870">
        <f t="shared" si="102"/>
        <v>691.94</v>
      </c>
      <c r="AR43" s="870">
        <f t="shared" si="102"/>
        <v>680.92</v>
      </c>
      <c r="AS43" s="870">
        <f t="shared" si="102"/>
        <v>671.925</v>
      </c>
      <c r="AT43" s="870">
        <f t="shared" si="102"/>
        <v>662.51199999999994</v>
      </c>
      <c r="AU43" s="262">
        <f t="shared" si="102"/>
        <v>676.72900000000004</v>
      </c>
      <c r="AV43" s="870">
        <f t="shared" si="102"/>
        <v>652.827</v>
      </c>
      <c r="AW43" s="870">
        <f t="shared" si="102"/>
        <v>643.24300000000005</v>
      </c>
      <c r="AX43" s="870">
        <f t="shared" si="102"/>
        <v>631.94600000000003</v>
      </c>
      <c r="AY43" s="870">
        <f t="shared" si="102"/>
        <v>622.99400000000003</v>
      </c>
      <c r="AZ43" s="262">
        <f t="shared" si="102"/>
        <v>637.655</v>
      </c>
      <c r="BA43" s="870">
        <f t="shared" si="102"/>
        <v>613.95000000000005</v>
      </c>
      <c r="BB43" s="870">
        <f t="shared" si="102"/>
        <v>602.92899999999997</v>
      </c>
      <c r="BC43" s="870">
        <f t="shared" si="102"/>
        <v>593.596</v>
      </c>
      <c r="BD43" s="870">
        <f t="shared" si="102"/>
        <v>584.88099999999997</v>
      </c>
      <c r="BE43" s="262">
        <f t="shared" si="102"/>
        <v>598.745</v>
      </c>
      <c r="BF43" s="870">
        <f t="shared" si="102"/>
        <v>577.48199999999997</v>
      </c>
      <c r="BG43" s="870">
        <f t="shared" si="102"/>
        <v>566.83799999999997</v>
      </c>
      <c r="BH43" s="871">
        <f>INDEX(MO_RIS_ShareCount_WAD_Adj,0,COLUMN())</f>
        <v>560.41399999999999</v>
      </c>
      <c r="BI43" s="870">
        <f t="shared" ca="1" si="102"/>
        <v>558.9629339999999</v>
      </c>
      <c r="BJ43" s="262">
        <f t="shared" ca="1" si="102"/>
        <v>566.39160909289615</v>
      </c>
      <c r="BK43" s="870">
        <f ca="1" t="shared" si="103" ref="BK43:BR43">INDEX(MO_RIS_ShareCount_WAD_Adj,0,COLUMN())</f>
        <v>558.94386799999995</v>
      </c>
      <c r="BL43" s="870">
        <f t="shared" ca="1" si="103"/>
        <v>558.94386799999995</v>
      </c>
      <c r="BM43" s="870">
        <f t="shared" ca="1" si="103"/>
        <v>558.94386799999995</v>
      </c>
      <c r="BN43" s="870">
        <f t="shared" ca="1" si="103"/>
        <v>558.94386799999995</v>
      </c>
      <c r="BO43" s="262">
        <f t="shared" ca="1" si="103"/>
        <v>558.94386799999995</v>
      </c>
      <c r="BP43" s="262">
        <f t="shared" ca="1" si="103"/>
        <v>558.94386799999995</v>
      </c>
      <c r="BQ43" s="262">
        <f t="shared" ca="1" si="103"/>
        <v>558.94386799999995</v>
      </c>
      <c r="BR43" s="262">
        <f t="shared" ca="1" si="103"/>
        <v>558.94386799999995</v>
      </c>
      <c r="BS43" s="820"/>
    </row>
    <row r="44" spans="1:71" ht="15" customHeight="1">
      <c r="A44" s="194"/>
      <c r="B44" s="195"/>
      <c r="C44" s="262"/>
      <c r="D44" s="262"/>
      <c r="E44" s="262"/>
      <c r="F44" s="262"/>
      <c r="G44" s="262"/>
      <c r="H44" s="870"/>
      <c r="I44" s="870"/>
      <c r="J44" s="870"/>
      <c r="K44" s="870"/>
      <c r="L44" s="262"/>
      <c r="M44" s="870"/>
      <c r="N44" s="870"/>
      <c r="O44" s="870"/>
      <c r="P44" s="870"/>
      <c r="Q44" s="262"/>
      <c r="R44" s="870"/>
      <c r="S44" s="870"/>
      <c r="T44" s="870"/>
      <c r="U44" s="870"/>
      <c r="V44" s="262"/>
      <c r="W44" s="870"/>
      <c r="X44" s="870"/>
      <c r="Y44" s="870"/>
      <c r="Z44" s="870"/>
      <c r="AA44" s="262"/>
      <c r="AB44" s="870"/>
      <c r="AC44" s="870"/>
      <c r="AD44" s="870"/>
      <c r="AE44" s="870"/>
      <c r="AF44" s="262"/>
      <c r="AG44" s="870"/>
      <c r="AH44" s="870"/>
      <c r="AI44" s="870"/>
      <c r="AJ44" s="870"/>
      <c r="AK44" s="262"/>
      <c r="AL44" s="870"/>
      <c r="AM44" s="870"/>
      <c r="AN44" s="870"/>
      <c r="AO44" s="870"/>
      <c r="AP44" s="262"/>
      <c r="AQ44" s="870"/>
      <c r="AR44" s="870"/>
      <c r="AS44" s="870"/>
      <c r="AT44" s="870"/>
      <c r="AU44" s="262"/>
      <c r="AV44" s="870"/>
      <c r="AW44" s="870"/>
      <c r="AX44" s="870"/>
      <c r="AY44" s="870"/>
      <c r="AZ44" s="262"/>
      <c r="BA44" s="870"/>
      <c r="BB44" s="870"/>
      <c r="BC44" s="870"/>
      <c r="BD44" s="870"/>
      <c r="BE44" s="262"/>
      <c r="BF44" s="870"/>
      <c r="BG44" s="870"/>
      <c r="BH44" s="871"/>
      <c r="BI44" s="870"/>
      <c r="BJ44" s="262"/>
      <c r="BK44" s="870"/>
      <c r="BL44" s="870"/>
      <c r="BM44" s="870"/>
      <c r="BN44" s="870"/>
      <c r="BO44" s="262"/>
      <c r="BP44" s="262"/>
      <c r="BQ44" s="262"/>
      <c r="BR44" s="262"/>
      <c r="BS44" s="820"/>
    </row>
    <row r="45" spans="1:71" ht="15" customHeight="1">
      <c r="A45" s="132" t="s">
        <v>256</v>
      </c>
      <c r="B45" s="133"/>
      <c r="C45" s="133"/>
      <c r="D45" s="133"/>
      <c r="E45" s="133"/>
      <c r="F45" s="133"/>
      <c r="G45" s="133"/>
      <c r="H45" s="133"/>
      <c r="I45" s="133"/>
      <c r="J45" s="133"/>
      <c r="K45" s="133"/>
      <c r="L45" s="133"/>
      <c r="M45" s="133"/>
      <c r="N45" s="133"/>
      <c r="O45" s="133"/>
      <c r="P45" s="133"/>
      <c r="Q45" s="133"/>
      <c r="R45" s="133"/>
      <c r="S45" s="133"/>
      <c r="T45" s="133"/>
      <c r="U45" s="133"/>
      <c r="V45" s="133"/>
      <c r="W45" s="133"/>
      <c r="X45" s="133"/>
      <c r="Y45" s="133"/>
      <c r="Z45" s="133"/>
      <c r="AA45" s="133"/>
      <c r="AB45" s="133"/>
      <c r="AC45" s="133"/>
      <c r="AD45" s="133"/>
      <c r="AE45" s="133"/>
      <c r="AF45" s="133"/>
      <c r="AG45" s="133"/>
      <c r="AH45" s="133"/>
      <c r="AI45" s="133"/>
      <c r="AJ45" s="133"/>
      <c r="AK45" s="133"/>
      <c r="AL45" s="133"/>
      <c r="AM45" s="133"/>
      <c r="AN45" s="133"/>
      <c r="AO45" s="133"/>
      <c r="AP45" s="133"/>
      <c r="AQ45" s="133"/>
      <c r="AR45" s="133"/>
      <c r="AS45" s="133"/>
      <c r="AT45" s="133"/>
      <c r="AU45" s="133"/>
      <c r="AV45" s="133"/>
      <c r="AW45" s="133"/>
      <c r="AX45" s="133"/>
      <c r="AY45" s="133"/>
      <c r="AZ45" s="133"/>
      <c r="BA45" s="133"/>
      <c r="BB45" s="133"/>
      <c r="BC45" s="133"/>
      <c r="BD45" s="133"/>
      <c r="BE45" s="133"/>
      <c r="BF45" s="133"/>
      <c r="BG45" s="133"/>
      <c r="BH45" s="562"/>
      <c r="BI45" s="133"/>
      <c r="BJ45" s="133"/>
      <c r="BK45" s="133"/>
      <c r="BL45" s="133"/>
      <c r="BM45" s="133"/>
      <c r="BN45" s="133"/>
      <c r="BO45" s="133"/>
      <c r="BP45" s="133"/>
      <c r="BQ45" s="133"/>
      <c r="BR45" s="133"/>
      <c r="BS45" s="209"/>
    </row>
    <row r="46" spans="1:71" ht="15" customHeight="1">
      <c r="A46" s="198" t="str">
        <f>INDEX(MO_RIS_NI_NONGAAP_Diluted,0,COLUMN())</f>
        <v>Adjusted Net Income</v>
      </c>
      <c r="B46" s="199"/>
      <c r="C46" s="1011">
        <f t="shared" si="104" ref="C46:AZ46">INDEX(MO_RIS_NI_NONGAAP_Diluted,0,COLUMN())</f>
        <v>2277</v>
      </c>
      <c r="D46" s="1011">
        <f t="shared" si="104"/>
        <v>2618</v>
      </c>
      <c r="E46" s="1011">
        <f t="shared" si="104"/>
        <v>2946</v>
      </c>
      <c r="F46" s="1011">
        <f t="shared" si="104"/>
        <v>3097</v>
      </c>
      <c r="G46" s="1011">
        <f t="shared" si="104"/>
        <v>2887</v>
      </c>
      <c r="H46" s="448">
        <f t="shared" si="104"/>
        <v>774</v>
      </c>
      <c r="I46" s="448">
        <f t="shared" si="104"/>
        <v>757</v>
      </c>
      <c r="J46" s="448">
        <f t="shared" si="104"/>
        <v>685</v>
      </c>
      <c r="K46" s="448">
        <f t="shared" si="104"/>
        <v>581</v>
      </c>
      <c r="L46" s="1011">
        <f t="shared" si="104"/>
        <v>2797</v>
      </c>
      <c r="M46" s="448">
        <f t="shared" si="104"/>
        <v>678</v>
      </c>
      <c r="N46" s="448">
        <f t="shared" si="104"/>
        <v>651</v>
      </c>
      <c r="O46" s="448">
        <f t="shared" si="104"/>
        <v>672</v>
      </c>
      <c r="P46" s="448">
        <f t="shared" si="104"/>
        <v>668</v>
      </c>
      <c r="Q46" s="1011">
        <f t="shared" si="104"/>
        <v>2669</v>
      </c>
      <c r="R46" s="448">
        <f t="shared" si="104"/>
        <v>705</v>
      </c>
      <c r="S46" s="448">
        <f t="shared" si="104"/>
        <v>683</v>
      </c>
      <c r="T46" s="448">
        <f t="shared" si="104"/>
        <v>713</v>
      </c>
      <c r="U46" s="448">
        <f t="shared" si="104"/>
        <v>589</v>
      </c>
      <c r="V46" s="1011">
        <f t="shared" si="104"/>
        <v>2690</v>
      </c>
      <c r="W46" s="448">
        <f t="shared" si="104"/>
        <v>671</v>
      </c>
      <c r="X46" s="448">
        <f t="shared" si="104"/>
        <v>739</v>
      </c>
      <c r="Y46" s="448">
        <f t="shared" si="104"/>
        <v>705</v>
      </c>
      <c r="Z46" s="448">
        <f t="shared" si="104"/>
        <v>875</v>
      </c>
      <c r="AA46" s="1011">
        <f t="shared" si="104"/>
        <v>2990</v>
      </c>
      <c r="AB46" s="448">
        <f t="shared" si="104"/>
        <v>800</v>
      </c>
      <c r="AC46" s="448">
        <f t="shared" si="104"/>
        <v>827</v>
      </c>
      <c r="AD46" s="448">
        <f t="shared" si="104"/>
        <v>793</v>
      </c>
      <c r="AE46" s="448">
        <f t="shared" si="104"/>
        <v>779</v>
      </c>
      <c r="AF46" s="1011">
        <f t="shared" si="104"/>
        <v>3198</v>
      </c>
      <c r="AG46" s="448">
        <f t="shared" si="104"/>
        <v>857</v>
      </c>
      <c r="AH46" s="448">
        <f t="shared" si="104"/>
        <v>851</v>
      </c>
      <c r="AI46" s="448">
        <f t="shared" si="104"/>
        <v>848</v>
      </c>
      <c r="AJ46" s="448">
        <f t="shared" si="104"/>
        <v>743</v>
      </c>
      <c r="AK46" s="1011">
        <f t="shared" si="104"/>
        <v>3299</v>
      </c>
      <c r="AL46" s="448">
        <f t="shared" si="104"/>
        <v>873</v>
      </c>
      <c r="AM46" s="448">
        <f t="shared" si="104"/>
        <v>916</v>
      </c>
      <c r="AN46" s="448">
        <f t="shared" si="104"/>
        <v>991</v>
      </c>
      <c r="AO46" s="448">
        <f t="shared" si="104"/>
        <v>741</v>
      </c>
      <c r="AP46" s="1011">
        <f t="shared" si="104"/>
        <v>3521</v>
      </c>
      <c r="AQ46" s="448">
        <f t="shared" si="104"/>
        <v>1045</v>
      </c>
      <c r="AR46" s="448">
        <f t="shared" si="104"/>
        <v>1086</v>
      </c>
      <c r="AS46" s="448">
        <f t="shared" si="104"/>
        <v>1045</v>
      </c>
      <c r="AT46" s="448">
        <f t="shared" si="104"/>
        <v>880</v>
      </c>
      <c r="AU46" s="1011">
        <f t="shared" si="104"/>
        <v>4057</v>
      </c>
      <c r="AV46" s="448">
        <f t="shared" si="104"/>
        <v>942</v>
      </c>
      <c r="AW46" s="448">
        <f t="shared" si="104"/>
        <v>946</v>
      </c>
      <c r="AX46" s="448">
        <f t="shared" si="104"/>
        <v>910</v>
      </c>
      <c r="AY46" s="448">
        <f t="shared" si="104"/>
        <v>817</v>
      </c>
      <c r="AZ46" s="1011">
        <f t="shared" si="104"/>
        <v>3613</v>
      </c>
      <c r="BA46" s="448">
        <f t="shared" si="105" ref="BA46:BE46">INDEX(MO_RIS_NI_NONGAAP_Diluted,0,COLUMN())</f>
        <v>994</v>
      </c>
      <c r="BB46" s="448">
        <f t="shared" si="105"/>
        <v>978</v>
      </c>
      <c r="BC46" s="448">
        <f>INDEX(MO_RIS_NI_NONGAAP_Diluted,0,COLUMN())</f>
        <v>1128</v>
      </c>
      <c r="BD46" s="448">
        <f t="shared" si="105"/>
        <v>746</v>
      </c>
      <c r="BE46" s="1011">
        <f t="shared" si="105"/>
        <v>3847</v>
      </c>
      <c r="BF46" s="448">
        <f t="shared" si="106" ref="BF46:BJ46">INDEX(MO_RIS_NI_NONGAAP_Diluted,0,COLUMN())</f>
        <v>1005</v>
      </c>
      <c r="BG46" s="448">
        <f t="shared" si="106"/>
        <v>1072</v>
      </c>
      <c r="BH46" s="757">
        <f>INDEX(MO_RIS_NI_NONGAAP_Diluted,0,COLUMN())</f>
        <v>1227</v>
      </c>
      <c r="BI46" s="448">
        <f t="shared" si="106"/>
        <v>826.62396401704973</v>
      </c>
      <c r="BJ46" s="1011">
        <f t="shared" si="106"/>
        <v>4130.623964017047</v>
      </c>
      <c r="BK46" s="448">
        <f t="shared" si="107" ref="BK46:BR46">INDEX(MO_RIS_NI_NONGAAP_Diluted,0,COLUMN())</f>
        <v>950.86561128176675</v>
      </c>
      <c r="BL46" s="448">
        <f t="shared" si="107"/>
        <v>955.46545929424644</v>
      </c>
      <c r="BM46" s="448">
        <f t="shared" si="107"/>
        <v>930.68046835653638</v>
      </c>
      <c r="BN46" s="448">
        <f t="shared" si="107"/>
        <v>1025.5970899323759</v>
      </c>
      <c r="BO46" s="1011">
        <f t="shared" si="107"/>
        <v>3862.6086288649262</v>
      </c>
      <c r="BP46" s="1011">
        <f t="shared" si="107"/>
        <v>4098.3757074884488</v>
      </c>
      <c r="BQ46" s="1011">
        <f t="shared" si="107"/>
        <v>4042.6527069076196</v>
      </c>
      <c r="BR46" s="1011">
        <f t="shared" si="107"/>
        <v>3053.6098213295713</v>
      </c>
      <c r="BS46" s="448"/>
    </row>
    <row r="47" spans="1:71" ht="15" customHeight="1">
      <c r="A47" s="207" t="str">
        <f>INDEX(MO_RIS_EPS_WAD_Adj,0,COLUMN())</f>
        <v>Adjusted Earnings Per Share - WAD</v>
      </c>
      <c r="B47" s="208"/>
      <c r="C47" s="1086">
        <f t="shared" si="108" ref="C47:AZ47">INDEX(MO_RIS_EPS_WAD_Adj,0,COLUMN())</f>
        <v>2.4271792914811017</v>
      </c>
      <c r="D47" s="1086">
        <f t="shared" si="108"/>
        <v>2.7669446294006366</v>
      </c>
      <c r="E47" s="1086">
        <f t="shared" si="108"/>
        <v>3.1382491424675627</v>
      </c>
      <c r="F47" s="1086">
        <f t="shared" si="108"/>
        <v>3.2996865457598443</v>
      </c>
      <c r="G47" s="1086">
        <f t="shared" si="108"/>
        <v>3.0883082874062917</v>
      </c>
      <c r="H47" s="145">
        <f t="shared" si="108"/>
        <v>0.84553385521925983</v>
      </c>
      <c r="I47" s="145">
        <f t="shared" si="108"/>
        <v>0.83117396460099258</v>
      </c>
      <c r="J47" s="145">
        <f t="shared" si="108"/>
        <v>0.75443685969236596</v>
      </c>
      <c r="K47" s="145">
        <f t="shared" si="108"/>
        <v>0.64695009242144186</v>
      </c>
      <c r="L47" s="1086">
        <f t="shared" si="108"/>
        <v>3.0803964757709252</v>
      </c>
      <c r="M47" s="145">
        <f t="shared" si="108"/>
        <v>0.77058239207868573</v>
      </c>
      <c r="N47" s="145">
        <f t="shared" si="108"/>
        <v>0.74955613841573077</v>
      </c>
      <c r="O47" s="145">
        <f t="shared" si="108"/>
        <v>0.7793979151105771</v>
      </c>
      <c r="P47" s="145">
        <f t="shared" si="108"/>
        <v>0.78118421914322334</v>
      </c>
      <c r="Q47" s="1086">
        <f t="shared" si="108"/>
        <v>3.080762376146196</v>
      </c>
      <c r="R47" s="145">
        <f t="shared" si="108"/>
        <v>0.83745129715860489</v>
      </c>
      <c r="S47" s="145">
        <f t="shared" si="108"/>
        <v>0.82423019554650201</v>
      </c>
      <c r="T47" s="145">
        <f t="shared" si="108"/>
        <v>0.86710123072432754</v>
      </c>
      <c r="U47" s="145">
        <f t="shared" si="108"/>
        <v>0.71938052665005614</v>
      </c>
      <c r="V47" s="1086">
        <f t="shared" si="108"/>
        <v>3.249412327473117</v>
      </c>
      <c r="W47" s="145">
        <f t="shared" si="108"/>
        <v>0.83030373525313739</v>
      </c>
      <c r="X47" s="145">
        <f t="shared" si="108"/>
        <v>0.92525817081843398</v>
      </c>
      <c r="Y47" s="145">
        <f t="shared" si="108"/>
        <v>0.88705801233576853</v>
      </c>
      <c r="Z47" s="145">
        <f t="shared" si="108"/>
        <v>1.1074827865532604</v>
      </c>
      <c r="AA47" s="1086">
        <f t="shared" si="108"/>
        <v>3.7475246283809187</v>
      </c>
      <c r="AB47" s="145">
        <f t="shared" si="108"/>
        <v>1.0206008277072713</v>
      </c>
      <c r="AC47" s="145">
        <f t="shared" si="108"/>
        <v>1.0632457666233397</v>
      </c>
      <c r="AD47" s="145">
        <f t="shared" si="108"/>
        <v>1.0271089408991412</v>
      </c>
      <c r="AE47" s="145">
        <f t="shared" si="108"/>
        <v>1.0181635675196674</v>
      </c>
      <c r="AF47" s="1086">
        <f t="shared" si="108"/>
        <v>4.128316013683599</v>
      </c>
      <c r="AG47" s="145">
        <f t="shared" si="108"/>
        <v>1.1339128593921592</v>
      </c>
      <c r="AH47" s="145">
        <f t="shared" si="108"/>
        <v>1.1364106782542274</v>
      </c>
      <c r="AI47" s="145">
        <f t="shared" si="108"/>
        <v>1.1400270487549775</v>
      </c>
      <c r="AJ47" s="145">
        <f t="shared" si="108"/>
        <v>1.007508173291406</v>
      </c>
      <c r="AK47" s="1086">
        <f t="shared" si="108"/>
        <v>4.4197044598957707</v>
      </c>
      <c r="AL47" s="145">
        <f t="shared" si="108"/>
        <v>1.1999802065120577</v>
      </c>
      <c r="AM47" s="145">
        <f t="shared" si="108"/>
        <v>1.2726393651252355</v>
      </c>
      <c r="AN47" s="145">
        <f t="shared" si="108"/>
        <v>1.3883576891339646</v>
      </c>
      <c r="AO47" s="145">
        <f t="shared" si="108"/>
        <v>1.0527676707977023</v>
      </c>
      <c r="AP47" s="1086">
        <f t="shared" si="108"/>
        <v>4.9162794334480138</v>
      </c>
      <c r="AQ47" s="145">
        <f t="shared" si="108"/>
        <v>1.5102465531693499</v>
      </c>
      <c r="AR47" s="145">
        <f t="shared" si="108"/>
        <v>1.5949010162721025</v>
      </c>
      <c r="AS47" s="145">
        <f t="shared" si="108"/>
        <v>1.5552330989321725</v>
      </c>
      <c r="AT47" s="145">
        <f t="shared" si="108"/>
        <v>1.3282778274204845</v>
      </c>
      <c r="AU47" s="1086">
        <f t="shared" si="108"/>
        <v>5.9950142523816767</v>
      </c>
      <c r="AV47" s="145">
        <f t="shared" si="108"/>
        <v>1.4429550248381271</v>
      </c>
      <c r="AW47" s="145">
        <f t="shared" si="108"/>
        <v>1.4706728250443455</v>
      </c>
      <c r="AX47" s="145">
        <f t="shared" si="108"/>
        <v>1.4399964553933404</v>
      </c>
      <c r="AY47" s="145">
        <f t="shared" si="108"/>
        <v>1.3114090986430045</v>
      </c>
      <c r="AZ47" s="1086">
        <f t="shared" si="108"/>
        <v>5.6660733468725253</v>
      </c>
      <c r="BA47" s="145">
        <f t="shared" si="109" ref="BA47:BE47">INDEX(MO_RIS_EPS_WAD_Adj,0,COLUMN())</f>
        <v>1.6190243505171429</v>
      </c>
      <c r="BB47" s="145">
        <f t="shared" si="109"/>
        <v>1.6220815386222922</v>
      </c>
      <c r="BC47" s="145">
        <f>INDEX(MO_RIS_EPS_WAD_Adj,0,COLUMN())</f>
        <v>1.9002823469160843</v>
      </c>
      <c r="BD47" s="145">
        <f t="shared" si="109"/>
        <v>1.2754731304316604</v>
      </c>
      <c r="BE47" s="1086">
        <f t="shared" si="109"/>
        <v>6.4251058463953772</v>
      </c>
      <c r="BF47" s="145">
        <f t="shared" si="110" ref="BF47:BJ47">INDEX(MO_RIS_EPS_WAD_Adj,0,COLUMN())</f>
        <v>1.7403139838124826</v>
      </c>
      <c r="BG47" s="145">
        <f t="shared" si="110"/>
        <v>1.8911928981472661</v>
      </c>
      <c r="BH47" s="778">
        <f>INDEX(MO_RIS_EPS_WAD_Adj,0,COLUMN())</f>
        <v>2.1894527973962106</v>
      </c>
      <c r="BI47" s="145">
        <f t="shared" ca="1" si="110"/>
        <v>1.4788529144529106</v>
      </c>
      <c r="BJ47" s="1086">
        <f t="shared" ca="1" si="110"/>
        <v>7.2928763380383463</v>
      </c>
      <c r="BK47" s="145">
        <f ca="1" t="shared" si="111" ref="BK47:BR47">INDEX(MO_RIS_EPS_WAD_Adj,0,COLUMN())</f>
        <v>1.7011826512814823</v>
      </c>
      <c r="BL47" s="145">
        <f t="shared" ca="1" si="111"/>
        <v>1.7094121860806362</v>
      </c>
      <c r="BM47" s="145">
        <f t="shared" ca="1" si="111"/>
        <v>1.6650696458781733</v>
      </c>
      <c r="BN47" s="145">
        <f t="shared" ca="1" si="111"/>
        <v>1.8348838741216424</v>
      </c>
      <c r="BO47" s="1086">
        <f t="shared" ca="1" si="111"/>
        <v>6.910548357361936</v>
      </c>
      <c r="BP47" s="1086">
        <f t="shared" ca="1" si="111"/>
        <v>7.3323565068405925</v>
      </c>
      <c r="BQ47" s="1086">
        <f t="shared" ca="1" si="111"/>
        <v>7.2326631319401464</v>
      </c>
      <c r="BR47" s="1086">
        <f t="shared" ca="1" si="111"/>
        <v>5.4631779614220077</v>
      </c>
      <c r="BS47" s="145"/>
    </row>
    <row r="48" spans="1:71" ht="15" customHeight="1">
      <c r="A48" s="209"/>
      <c r="B48" s="210"/>
      <c r="C48" s="267"/>
      <c r="D48" s="267"/>
      <c r="E48" s="267"/>
      <c r="F48" s="267"/>
      <c r="G48" s="267"/>
      <c r="H48" s="147"/>
      <c r="I48" s="147"/>
      <c r="J48" s="147"/>
      <c r="K48" s="147"/>
      <c r="L48" s="267"/>
      <c r="M48" s="147"/>
      <c r="N48" s="147"/>
      <c r="O48" s="147"/>
      <c r="P48" s="147"/>
      <c r="Q48" s="267"/>
      <c r="R48" s="147"/>
      <c r="S48" s="147"/>
      <c r="T48" s="147"/>
      <c r="U48" s="147"/>
      <c r="V48" s="267"/>
      <c r="W48" s="147"/>
      <c r="X48" s="147"/>
      <c r="Y48" s="147"/>
      <c r="Z48" s="147"/>
      <c r="AA48" s="267"/>
      <c r="AB48" s="147"/>
      <c r="AC48" s="147"/>
      <c r="AD48" s="147"/>
      <c r="AE48" s="147"/>
      <c r="AF48" s="267"/>
      <c r="AG48" s="147"/>
      <c r="AH48" s="147"/>
      <c r="AI48" s="147"/>
      <c r="AJ48" s="147"/>
      <c r="AK48" s="267"/>
      <c r="AL48" s="147"/>
      <c r="AM48" s="147"/>
      <c r="AN48" s="147"/>
      <c r="AO48" s="148"/>
      <c r="AP48" s="260"/>
      <c r="AQ48" s="147"/>
      <c r="AR48" s="147"/>
      <c r="AS48" s="147"/>
      <c r="AT48" s="148"/>
      <c r="AU48" s="260"/>
      <c r="AV48" s="147"/>
      <c r="AW48" s="147"/>
      <c r="AX48" s="147"/>
      <c r="AY48" s="148"/>
      <c r="AZ48" s="260"/>
      <c r="BA48" s="147"/>
      <c r="BB48" s="147"/>
      <c r="BC48" s="147"/>
      <c r="BD48" s="148"/>
      <c r="BE48" s="260"/>
      <c r="BF48" s="147"/>
      <c r="BG48" s="147"/>
      <c r="BH48" s="779"/>
      <c r="BI48" s="148"/>
      <c r="BJ48" s="260"/>
      <c r="BK48" s="147"/>
      <c r="BL48" s="147"/>
      <c r="BM48" s="147"/>
      <c r="BN48" s="148"/>
      <c r="BO48" s="260"/>
      <c r="BP48" s="260"/>
      <c r="BQ48" s="260"/>
      <c r="BR48" s="260"/>
      <c r="BS48" s="209"/>
    </row>
    <row r="49" spans="1:71" ht="15" customHeight="1">
      <c r="A49" s="134" t="s">
        <v>88</v>
      </c>
      <c r="B49" s="819"/>
      <c r="C49" s="867"/>
      <c r="D49" s="867"/>
      <c r="E49" s="867"/>
      <c r="F49" s="867"/>
      <c r="G49" s="867"/>
      <c r="H49" s="867"/>
      <c r="I49" s="867"/>
      <c r="J49" s="867"/>
      <c r="K49" s="867"/>
      <c r="L49" s="867"/>
      <c r="M49" s="867"/>
      <c r="N49" s="867"/>
      <c r="O49" s="867"/>
      <c r="P49" s="867"/>
      <c r="Q49" s="867"/>
      <c r="R49" s="867"/>
      <c r="S49" s="867"/>
      <c r="T49" s="867"/>
      <c r="U49" s="867"/>
      <c r="V49" s="867"/>
      <c r="W49" s="867"/>
      <c r="X49" s="867"/>
      <c r="Y49" s="867"/>
      <c r="Z49" s="867"/>
      <c r="AA49" s="867"/>
      <c r="AB49" s="867"/>
      <c r="AC49" s="867"/>
      <c r="AD49" s="867"/>
      <c r="AE49" s="867"/>
      <c r="AF49" s="867"/>
      <c r="AG49" s="867"/>
      <c r="AH49" s="867"/>
      <c r="AI49" s="867"/>
      <c r="AJ49" s="867"/>
      <c r="AK49" s="867"/>
      <c r="AL49" s="867"/>
      <c r="AM49" s="867"/>
      <c r="AN49" s="867"/>
      <c r="AO49" s="867"/>
      <c r="AP49" s="867"/>
      <c r="AQ49" s="867"/>
      <c r="AR49" s="867"/>
      <c r="AS49" s="867"/>
      <c r="AT49" s="867"/>
      <c r="AU49" s="867"/>
      <c r="AV49" s="867"/>
      <c r="AW49" s="867"/>
      <c r="AX49" s="867"/>
      <c r="AY49" s="867"/>
      <c r="AZ49" s="867"/>
      <c r="BA49" s="867"/>
      <c r="BB49" s="867"/>
      <c r="BC49" s="867"/>
      <c r="BD49" s="867"/>
      <c r="BE49" s="867"/>
      <c r="BF49" s="867"/>
      <c r="BG49" s="867"/>
      <c r="BH49" s="868"/>
      <c r="BI49" s="867"/>
      <c r="BJ49" s="867"/>
      <c r="BK49" s="867"/>
      <c r="BL49" s="867"/>
      <c r="BM49" s="867"/>
      <c r="BN49" s="867"/>
      <c r="BO49" s="867"/>
      <c r="BP49" s="867"/>
      <c r="BQ49" s="867"/>
      <c r="BR49" s="867"/>
      <c r="BS49" s="820"/>
    </row>
    <row r="50" spans="1:71" ht="15" customHeight="1">
      <c r="A50" s="211" t="str">
        <f>INDEX(MO_DS_DPS,0,COLUMN())</f>
        <v>Dividend Per Common Share</v>
      </c>
      <c r="B50" s="212"/>
      <c r="C50" s="1087">
        <f t="shared" si="112" ref="C50:AZ50">INDEX(MO_DS_DPS,0,COLUMN())</f>
        <v>0.56000000000000005</v>
      </c>
      <c r="D50" s="1087">
        <f t="shared" si="112"/>
        <v>0.56999999999999995</v>
      </c>
      <c r="E50" s="1087">
        <f t="shared" si="112"/>
        <v>0.615</v>
      </c>
      <c r="F50" s="1087">
        <f t="shared" si="112"/>
        <v>0.67</v>
      </c>
      <c r="G50" s="1087">
        <f t="shared" si="112"/>
        <v>0.71</v>
      </c>
      <c r="H50" s="301">
        <f t="shared" si="112"/>
        <v>0.185</v>
      </c>
      <c r="I50" s="301">
        <f t="shared" si="112"/>
        <v>0.185</v>
      </c>
      <c r="J50" s="301">
        <f t="shared" si="112"/>
        <v>0.185</v>
      </c>
      <c r="K50" s="301">
        <f t="shared" si="112"/>
        <v>0.195</v>
      </c>
      <c r="L50" s="1087">
        <f t="shared" si="112"/>
        <v>0.75</v>
      </c>
      <c r="M50" s="301">
        <f t="shared" si="112"/>
        <v>0.195</v>
      </c>
      <c r="N50" s="301">
        <f t="shared" si="112"/>
        <v>0.195</v>
      </c>
      <c r="O50" s="301">
        <f t="shared" si="112"/>
        <v>0.195</v>
      </c>
      <c r="P50" s="301">
        <f t="shared" si="112"/>
        <v>0.205</v>
      </c>
      <c r="Q50" s="1087">
        <f t="shared" si="112"/>
        <v>0.78999999999999992</v>
      </c>
      <c r="R50" s="301">
        <f t="shared" si="112"/>
        <v>0.205</v>
      </c>
      <c r="S50" s="301">
        <f t="shared" si="112"/>
        <v>0.205</v>
      </c>
      <c r="T50" s="301">
        <f t="shared" si="112"/>
        <v>0.205</v>
      </c>
      <c r="U50" s="301">
        <f t="shared" si="112"/>
        <v>0.215</v>
      </c>
      <c r="V50" s="1087">
        <f t="shared" si="112"/>
        <v>0.83</v>
      </c>
      <c r="W50" s="301">
        <f t="shared" si="112"/>
        <v>0.215</v>
      </c>
      <c r="X50" s="301">
        <f t="shared" si="112"/>
        <v>0.215</v>
      </c>
      <c r="Y50" s="301">
        <f t="shared" si="112"/>
        <v>0.215</v>
      </c>
      <c r="Z50" s="301">
        <f t="shared" si="112"/>
        <v>0.225</v>
      </c>
      <c r="AA50" s="1087">
        <f t="shared" si="112"/>
        <v>0.87</v>
      </c>
      <c r="AB50" s="301">
        <f t="shared" si="112"/>
        <v>0.26</v>
      </c>
      <c r="AC50" s="301">
        <f t="shared" si="112"/>
        <v>0.26</v>
      </c>
      <c r="AD50" s="301">
        <f t="shared" si="112"/>
        <v>0.26</v>
      </c>
      <c r="AE50" s="301">
        <f t="shared" si="112"/>
        <v>0.26</v>
      </c>
      <c r="AF50" s="1087">
        <f t="shared" si="112"/>
        <v>1.04</v>
      </c>
      <c r="AG50" s="301">
        <f t="shared" si="112"/>
        <v>0.27000000000000002</v>
      </c>
      <c r="AH50" s="301">
        <f t="shared" si="112"/>
        <v>0.27000000000000002</v>
      </c>
      <c r="AI50" s="301">
        <f t="shared" si="112"/>
        <v>0.27000000000000002</v>
      </c>
      <c r="AJ50" s="301">
        <f t="shared" si="112"/>
        <v>0.27000000000000002</v>
      </c>
      <c r="AK50" s="1087">
        <f t="shared" si="112"/>
        <v>1.0800000000000001</v>
      </c>
      <c r="AL50" s="301">
        <f t="shared" si="112"/>
        <v>0.28000000000000003</v>
      </c>
      <c r="AM50" s="301">
        <f t="shared" si="112"/>
        <v>0.28000000000000003</v>
      </c>
      <c r="AN50" s="301">
        <f t="shared" si="112"/>
        <v>0.28000000000000003</v>
      </c>
      <c r="AO50" s="301">
        <f t="shared" si="112"/>
        <v>0.28000000000000003</v>
      </c>
      <c r="AP50" s="1079">
        <f t="shared" si="112"/>
        <v>1.1200000000000001</v>
      </c>
      <c r="AQ50" s="301">
        <f t="shared" si="112"/>
        <v>0.33</v>
      </c>
      <c r="AR50" s="301">
        <f t="shared" si="112"/>
        <v>0.33</v>
      </c>
      <c r="AS50" s="301">
        <f t="shared" si="112"/>
        <v>0.33</v>
      </c>
      <c r="AT50" s="301">
        <f t="shared" si="112"/>
        <v>0.33</v>
      </c>
      <c r="AU50" s="1079">
        <f t="shared" si="112"/>
        <v>1.32</v>
      </c>
      <c r="AV50" s="301">
        <f t="shared" si="112"/>
        <v>0.40</v>
      </c>
      <c r="AW50" s="301">
        <f t="shared" si="112"/>
        <v>0.40</v>
      </c>
      <c r="AX50" s="301">
        <f t="shared" si="112"/>
        <v>0.40</v>
      </c>
      <c r="AY50" s="301">
        <f t="shared" si="112"/>
        <v>0.40</v>
      </c>
      <c r="AZ50" s="1079">
        <f t="shared" si="112"/>
        <v>1.60</v>
      </c>
      <c r="BA50" s="301">
        <f t="shared" si="113" ref="BA50:BE50">INDEX(MO_DS_DPS,0,COLUMN())</f>
        <v>0.42</v>
      </c>
      <c r="BB50" s="301">
        <f t="shared" si="113"/>
        <v>0.42</v>
      </c>
      <c r="BC50" s="301">
        <f>INDEX(MO_DS_DPS,0,COLUMN())</f>
        <v>0.42</v>
      </c>
      <c r="BD50" s="301">
        <f t="shared" si="113"/>
        <v>0.42</v>
      </c>
      <c r="BE50" s="1079">
        <f t="shared" si="113"/>
        <v>1.6800000000000002</v>
      </c>
      <c r="BF50" s="301">
        <f t="shared" si="114" ref="BF50:BJ50">INDEX(MO_DS_DPS,0,COLUMN())</f>
        <v>0.50</v>
      </c>
      <c r="BG50" s="301">
        <f t="shared" si="114"/>
        <v>0.50</v>
      </c>
      <c r="BH50" s="780">
        <f>INDEX(MO_DS_DPS,0,COLUMN())</f>
        <v>0.50</v>
      </c>
      <c r="BI50" s="301">
        <f t="shared" si="114"/>
        <v>0.50</v>
      </c>
      <c r="BJ50" s="1079">
        <f t="shared" si="114"/>
        <v>2</v>
      </c>
      <c r="BK50" s="301">
        <f t="shared" si="115" ref="BK50:BR50">INDEX(MO_DS_DPS,0,COLUMN())</f>
        <v>0.50</v>
      </c>
      <c r="BL50" s="301">
        <f t="shared" si="115"/>
        <v>0.50</v>
      </c>
      <c r="BM50" s="301">
        <f t="shared" si="115"/>
        <v>0.50</v>
      </c>
      <c r="BN50" s="301">
        <f t="shared" si="115"/>
        <v>0.50</v>
      </c>
      <c r="BO50" s="1079">
        <f t="shared" si="115"/>
        <v>2</v>
      </c>
      <c r="BP50" s="1079">
        <f t="shared" si="115"/>
        <v>2</v>
      </c>
      <c r="BQ50" s="1079">
        <f t="shared" si="115"/>
        <v>2</v>
      </c>
      <c r="BR50" s="1079">
        <f t="shared" si="115"/>
        <v>2</v>
      </c>
      <c r="BS50" s="271"/>
    </row>
    <row r="51" spans="1:71" ht="15" customHeight="1">
      <c r="A51" s="213" t="str">
        <f>INDEX(MO_DS_PayoutRatio,0,COLUMN())</f>
        <v>Payout Ratio</v>
      </c>
      <c r="B51" s="210"/>
      <c r="C51" s="1088">
        <f t="shared" si="116" ref="C51:AZ51">INDEX(MO_DS_PayoutRatio,0,COLUMN())</f>
        <v>0.35003340013360051</v>
      </c>
      <c r="D51" s="1088">
        <f t="shared" si="116"/>
        <v>0.22824232081911264</v>
      </c>
      <c r="E51" s="1088">
        <f t="shared" si="116"/>
        <v>0.28497676819824469</v>
      </c>
      <c r="F51" s="1088">
        <f t="shared" si="116"/>
        <v>0.21039776692254011</v>
      </c>
      <c r="G51" s="1088">
        <f t="shared" si="116"/>
        <v>0.20107663077897403</v>
      </c>
      <c r="H51" s="148">
        <f t="shared" si="116"/>
        <v>0.2226775956284153</v>
      </c>
      <c r="I51" s="148">
        <f t="shared" si="116"/>
        <v>0.19876543209876543</v>
      </c>
      <c r="J51" s="148">
        <f t="shared" si="116"/>
        <v>0.22946175637393768</v>
      </c>
      <c r="K51" s="148">
        <f t="shared" si="116"/>
        <v>0.23897581792318634</v>
      </c>
      <c r="L51" s="1088">
        <f t="shared" si="116"/>
        <v>0.22161978990172823</v>
      </c>
      <c r="M51" s="148">
        <f t="shared" si="116"/>
        <v>0.24886877828054299</v>
      </c>
      <c r="N51" s="148">
        <f t="shared" si="116"/>
        <v>0.28446771378708552</v>
      </c>
      <c r="O51" s="148">
        <f t="shared" si="116"/>
        <v>0.2839506172839506</v>
      </c>
      <c r="P51" s="148">
        <f t="shared" si="116"/>
        <v>0.22876712328767124</v>
      </c>
      <c r="Q51" s="1088">
        <f t="shared" si="116"/>
        <v>0.25898144492696407</v>
      </c>
      <c r="R51" s="148">
        <f t="shared" si="116"/>
        <v>0.22845417236662108</v>
      </c>
      <c r="S51" s="148">
        <f t="shared" si="116"/>
        <v>0.29744525547445255</v>
      </c>
      <c r="T51" s="148">
        <f t="shared" si="116"/>
        <v>0.25755166931637519</v>
      </c>
      <c r="U51" s="148">
        <f t="shared" si="116"/>
        <v>0.22103861517976031</v>
      </c>
      <c r="V51" s="1088">
        <f t="shared" si="116"/>
        <v>0.24746145167356148</v>
      </c>
      <c r="W51" s="148">
        <f t="shared" si="116"/>
        <v>0.28040540540540543</v>
      </c>
      <c r="X51" s="148">
        <f t="shared" si="116"/>
        <v>0.22720897615708274</v>
      </c>
      <c r="Y51" s="148">
        <f t="shared" si="116"/>
        <v>0.2276536312849162</v>
      </c>
      <c r="Z51" s="148">
        <f t="shared" si="116"/>
        <v>0.065814943863724357</v>
      </c>
      <c r="AA51" s="1088">
        <f t="shared" si="116"/>
        <v>0.14357080799304953</v>
      </c>
      <c r="AB51" s="148">
        <f t="shared" si="116"/>
        <v>0.27196652719665271</v>
      </c>
      <c r="AC51" s="148">
        <f t="shared" si="116"/>
        <v>0.24158653846153846</v>
      </c>
      <c r="AD51" s="148">
        <f t="shared" si="116"/>
        <v>0.23550295857988165</v>
      </c>
      <c r="AE51" s="148">
        <f t="shared" si="116"/>
        <v>0.37642585551330798</v>
      </c>
      <c r="AF51" s="1088">
        <f t="shared" si="116"/>
        <v>0.27157534246575343</v>
      </c>
      <c r="AG51" s="148">
        <f t="shared" si="116"/>
        <v>0.2101293103448276</v>
      </c>
      <c r="AH51" s="148">
        <f t="shared" si="116"/>
        <v>0.23745410036719705</v>
      </c>
      <c r="AI51" s="148">
        <f t="shared" si="116"/>
        <v>0.24453024453024452</v>
      </c>
      <c r="AJ51" s="148">
        <f t="shared" si="116"/>
        <v>0.24552429667519182</v>
      </c>
      <c r="AK51" s="1088">
        <f t="shared" si="116"/>
        <v>0.23335351089588377</v>
      </c>
      <c r="AL51" s="148">
        <f t="shared" si="116"/>
        <v>0.34452296819787986</v>
      </c>
      <c r="AM51" s="148">
        <f t="shared" si="116"/>
        <v>0.23975155279503105</v>
      </c>
      <c r="AN51" s="148">
        <f t="shared" si="116"/>
        <v>0.078175895765472306</v>
      </c>
      <c r="AO51" s="148">
        <f t="shared" si="116"/>
        <v>0.19873817034700317</v>
      </c>
      <c r="AP51" s="260">
        <f t="shared" si="116"/>
        <v>0.16094600251151109</v>
      </c>
      <c r="AQ51" s="148">
        <f t="shared" si="116"/>
        <v>0.16937354988399073</v>
      </c>
      <c r="AR51" s="148">
        <f t="shared" si="116"/>
        <v>0.19095022624434388</v>
      </c>
      <c r="AS51" s="148">
        <f t="shared" si="116"/>
        <v>0.24436936936936937</v>
      </c>
      <c r="AT51" s="148">
        <f t="shared" si="116"/>
        <v>0.20019249278152068</v>
      </c>
      <c r="AU51" s="260">
        <f t="shared" si="116"/>
        <v>0.19768786127167631</v>
      </c>
      <c r="AV51" s="148">
        <f t="shared" si="116"/>
        <v>0.2387774594078319</v>
      </c>
      <c r="AW51" s="148">
        <f t="shared" si="116"/>
        <v>0.17790530846484937</v>
      </c>
      <c r="AX51" s="148">
        <f t="shared" si="116"/>
        <v>0.13587871982032565</v>
      </c>
      <c r="AY51" s="148">
        <f t="shared" si="116"/>
        <v>1.2193877551020409</v>
      </c>
      <c r="AZ51" s="260">
        <f t="shared" si="116"/>
        <v>0.22159348121321865</v>
      </c>
      <c r="BA51" s="148">
        <f t="shared" si="117" ref="BA51:BE51">INDEX(MO_DS_PayoutRatio,0,COLUMN())</f>
        <v>0.20875420875420875</v>
      </c>
      <c r="BB51" s="148">
        <f t="shared" si="117"/>
        <v>0.14871481028151776</v>
      </c>
      <c r="BC51" s="148">
        <f>INDEX(MO_DS_PayoutRatio,0,COLUMN())</f>
        <v>0.15232632249840664</v>
      </c>
      <c r="BD51" s="148">
        <f t="shared" si="117"/>
        <v>0.88059701492537312</v>
      </c>
      <c r="BE51" s="260">
        <f t="shared" si="117"/>
        <v>0.20734063103670317</v>
      </c>
      <c r="BF51" s="148">
        <f t="shared" si="118" ref="BF51:BJ51">INDEX(MO_DS_PayoutRatio,0,COLUMN())</f>
        <v>0.14795103778605642</v>
      </c>
      <c r="BG51" s="148">
        <f t="shared" si="118"/>
        <v>0.15498575498575498</v>
      </c>
      <c r="BH51" s="781">
        <f>INDEX(MO_DS_PayoutRatio,0,COLUMN())</f>
        <v>-2.903225806451613</v>
      </c>
      <c r="BI51" s="148">
        <f t="shared" ca="1" si="118"/>
        <v>0.32886415299365623</v>
      </c>
      <c r="BJ51" s="260">
        <f t="shared" ca="1" si="118"/>
        <v>0.25034245812760764</v>
      </c>
      <c r="BK51" s="148">
        <f ca="1" t="shared" si="119" ref="BK51:BR51">INDEX(MO_DS_PayoutRatio,0,COLUMN())</f>
        <v>0.28677074449194384</v>
      </c>
      <c r="BL51" s="148">
        <f t="shared" ca="1" si="119"/>
        <v>0.28565250553016036</v>
      </c>
      <c r="BM51" s="148">
        <f t="shared" ca="1" si="119"/>
        <v>0.29286083119762168</v>
      </c>
      <c r="BN51" s="148">
        <f t="shared" ca="1" si="119"/>
        <v>0.26647451221410173</v>
      </c>
      <c r="BO51" s="260">
        <f t="shared" ca="1" si="119"/>
        <v>0.28258249876498343</v>
      </c>
      <c r="BP51" s="260">
        <f t="shared" ca="1" si="119"/>
        <v>0.26627139573391923</v>
      </c>
      <c r="BQ51" s="260">
        <f t="shared" ca="1" si="119"/>
        <v>0.26971071759656112</v>
      </c>
      <c r="BR51" s="260">
        <f t="shared" ca="1" si="119"/>
        <v>0.35714347330518487</v>
      </c>
      <c r="BS51" s="209"/>
    </row>
    <row r="52" spans="1:71" ht="15" customHeight="1">
      <c r="A52" s="209"/>
      <c r="B52" s="210"/>
      <c r="C52" s="267"/>
      <c r="D52" s="267"/>
      <c r="E52" s="267"/>
      <c r="F52" s="267"/>
      <c r="G52" s="267"/>
      <c r="H52" s="147"/>
      <c r="I52" s="147"/>
      <c r="J52" s="147"/>
      <c r="K52" s="147"/>
      <c r="L52" s="267"/>
      <c r="M52" s="147"/>
      <c r="N52" s="147"/>
      <c r="O52" s="147"/>
      <c r="P52" s="147"/>
      <c r="Q52" s="267"/>
      <c r="R52" s="147"/>
      <c r="S52" s="147"/>
      <c r="T52" s="147"/>
      <c r="U52" s="147"/>
      <c r="V52" s="267"/>
      <c r="W52" s="147"/>
      <c r="X52" s="147"/>
      <c r="Y52" s="147"/>
      <c r="Z52" s="147"/>
      <c r="AA52" s="267"/>
      <c r="AB52" s="147"/>
      <c r="AC52" s="147"/>
      <c r="AD52" s="147"/>
      <c r="AE52" s="147"/>
      <c r="AF52" s="267"/>
      <c r="AG52" s="147"/>
      <c r="AH52" s="147"/>
      <c r="AI52" s="147"/>
      <c r="AJ52" s="147"/>
      <c r="AK52" s="267"/>
      <c r="AL52" s="147"/>
      <c r="AM52" s="147"/>
      <c r="AN52" s="147"/>
      <c r="AO52" s="148"/>
      <c r="AP52" s="260"/>
      <c r="AQ52" s="147"/>
      <c r="AR52" s="147"/>
      <c r="AS52" s="147"/>
      <c r="AT52" s="148"/>
      <c r="AU52" s="260"/>
      <c r="AV52" s="147"/>
      <c r="AW52" s="147"/>
      <c r="AX52" s="147"/>
      <c r="AY52" s="148"/>
      <c r="AZ52" s="260"/>
      <c r="BA52" s="147"/>
      <c r="BB52" s="147"/>
      <c r="BC52" s="147"/>
      <c r="BD52" s="148"/>
      <c r="BE52" s="260"/>
      <c r="BF52" s="147"/>
      <c r="BG52" s="147"/>
      <c r="BH52" s="779"/>
      <c r="BI52" s="148"/>
      <c r="BJ52" s="260"/>
      <c r="BK52" s="147"/>
      <c r="BL52" s="147"/>
      <c r="BM52" s="147"/>
      <c r="BN52" s="148"/>
      <c r="BO52" s="260"/>
      <c r="BP52" s="260"/>
      <c r="BQ52" s="260"/>
      <c r="BR52" s="260"/>
      <c r="BS52" s="209"/>
    </row>
    <row r="53" spans="1:71" ht="15" customHeight="1">
      <c r="A53" s="134" t="s">
        <v>257</v>
      </c>
      <c r="B53" s="819"/>
      <c r="C53" s="867"/>
      <c r="D53" s="867"/>
      <c r="E53" s="867"/>
      <c r="F53" s="867"/>
      <c r="G53" s="867"/>
      <c r="H53" s="867"/>
      <c r="I53" s="867"/>
      <c r="J53" s="867"/>
      <c r="K53" s="867"/>
      <c r="L53" s="867"/>
      <c r="M53" s="867"/>
      <c r="N53" s="867"/>
      <c r="O53" s="867"/>
      <c r="P53" s="867"/>
      <c r="Q53" s="867"/>
      <c r="R53" s="867"/>
      <c r="S53" s="867"/>
      <c r="T53" s="867"/>
      <c r="U53" s="867"/>
      <c r="V53" s="867"/>
      <c r="W53" s="867"/>
      <c r="X53" s="867"/>
      <c r="Y53" s="867"/>
      <c r="Z53" s="867"/>
      <c r="AA53" s="867"/>
      <c r="AB53" s="867"/>
      <c r="AC53" s="867"/>
      <c r="AD53" s="867"/>
      <c r="AE53" s="867"/>
      <c r="AF53" s="867"/>
      <c r="AG53" s="867"/>
      <c r="AH53" s="867"/>
      <c r="AI53" s="867"/>
      <c r="AJ53" s="867"/>
      <c r="AK53" s="867"/>
      <c r="AL53" s="867"/>
      <c r="AM53" s="867"/>
      <c r="AN53" s="867"/>
      <c r="AO53" s="867"/>
      <c r="AP53" s="867"/>
      <c r="AQ53" s="867"/>
      <c r="AR53" s="867"/>
      <c r="AS53" s="867"/>
      <c r="AT53" s="867"/>
      <c r="AU53" s="867"/>
      <c r="AV53" s="867"/>
      <c r="AW53" s="867"/>
      <c r="AX53" s="867"/>
      <c r="AY53" s="867"/>
      <c r="AZ53" s="867"/>
      <c r="BA53" s="867"/>
      <c r="BB53" s="867"/>
      <c r="BC53" s="867"/>
      <c r="BD53" s="867"/>
      <c r="BE53" s="867"/>
      <c r="BF53" s="867"/>
      <c r="BG53" s="867"/>
      <c r="BH53" s="868"/>
      <c r="BI53" s="867"/>
      <c r="BJ53" s="867"/>
      <c r="BK53" s="867"/>
      <c r="BL53" s="867"/>
      <c r="BM53" s="867"/>
      <c r="BN53" s="867"/>
      <c r="BO53" s="867"/>
      <c r="BP53" s="867"/>
      <c r="BQ53" s="867"/>
      <c r="BR53" s="867"/>
      <c r="BS53" s="820"/>
    </row>
    <row r="54" spans="1:71" ht="15" customHeight="1">
      <c r="A54" s="214" t="s">
        <v>96</v>
      </c>
      <c r="B54" s="215"/>
      <c r="C54" s="1089">
        <f t="shared" si="120" ref="C54:AZ54">INDEX(MO_BSS_ROA,0,COLUMN())</f>
        <v>0</v>
      </c>
      <c r="D54" s="1089">
        <f t="shared" si="120"/>
        <v>0.025320694590726188</v>
      </c>
      <c r="E54" s="1089">
        <f t="shared" si="120"/>
        <v>0.017829856956129531</v>
      </c>
      <c r="F54" s="1089">
        <f t="shared" si="120"/>
        <v>0.023175420792379442</v>
      </c>
      <c r="G54" s="1089">
        <f t="shared" si="120"/>
        <v>0.025023672647889669</v>
      </c>
      <c r="H54" s="151">
        <f t="shared" si="120"/>
        <v>0.024273743283224104</v>
      </c>
      <c r="I54" s="151">
        <f t="shared" si="120"/>
        <v>0.025870857561831152</v>
      </c>
      <c r="J54" s="151">
        <f t="shared" si="120"/>
        <v>0.021957779439563237</v>
      </c>
      <c r="K54" s="151">
        <f t="shared" si="120"/>
        <v>0.022581783555635348</v>
      </c>
      <c r="L54" s="1089">
        <f t="shared" si="120"/>
        <v>0.023817979305557797</v>
      </c>
      <c r="M54" s="151">
        <f t="shared" si="120"/>
        <v>0.02229842544063336</v>
      </c>
      <c r="N54" s="151">
        <f t="shared" si="120"/>
        <v>0.019396382031518875</v>
      </c>
      <c r="O54" s="151">
        <f t="shared" si="120"/>
        <v>0.019306123256194043</v>
      </c>
      <c r="P54" s="151">
        <f t="shared" si="120"/>
        <v>0.024574123839565511</v>
      </c>
      <c r="Q54" s="1089">
        <f t="shared" si="120"/>
        <v>0.021376970597171117</v>
      </c>
      <c r="R54" s="151">
        <f t="shared" si="120"/>
        <v>0.023900837600425443</v>
      </c>
      <c r="S54" s="151">
        <f t="shared" si="120"/>
        <v>0.01638371589273456</v>
      </c>
      <c r="T54" s="151">
        <f t="shared" si="120"/>
        <v>0.017536309073657767</v>
      </c>
      <c r="U54" s="151">
        <f t="shared" si="120"/>
        <v>0.021814207893132872</v>
      </c>
      <c r="V54" s="1089">
        <f t="shared" si="120"/>
        <v>0.02010649865629003</v>
      </c>
      <c r="W54" s="151">
        <f t="shared" si="120"/>
        <v>0.018225209712633278</v>
      </c>
      <c r="X54" s="151">
        <f t="shared" si="120"/>
        <v>0.021259237632767613</v>
      </c>
      <c r="Y54" s="151">
        <f t="shared" si="120"/>
        <v>0.020927387394976689</v>
      </c>
      <c r="Z54" s="151">
        <f t="shared" si="120"/>
        <v>0.074992841120603268</v>
      </c>
      <c r="AA54" s="1089">
        <f t="shared" si="120"/>
        <v>0.034247645288419622</v>
      </c>
      <c r="AB54" s="151">
        <f t="shared" si="120"/>
        <v>0.020436466799965795</v>
      </c>
      <c r="AC54" s="151">
        <f t="shared" si="120"/>
        <v>0.023067116817764837</v>
      </c>
      <c r="AD54" s="151">
        <f t="shared" si="120"/>
        <v>0.023952285075565509</v>
      </c>
      <c r="AE54" s="151">
        <f t="shared" si="120"/>
        <v>0.014994577459695678</v>
      </c>
      <c r="AF54" s="1089">
        <f t="shared" si="120"/>
        <v>0.02071198145568345</v>
      </c>
      <c r="AG54" s="151">
        <f t="shared" si="120"/>
        <v>0.026310750689868781</v>
      </c>
      <c r="AH54" s="151">
        <f t="shared" si="120"/>
        <v>0.022061323903594814</v>
      </c>
      <c r="AI54" s="151">
        <f t="shared" si="120"/>
        <v>0.020178656224799359</v>
      </c>
      <c r="AJ54" s="151">
        <f t="shared" si="120"/>
        <v>0.020217982763395839</v>
      </c>
      <c r="AK54" s="1089">
        <f t="shared" si="120"/>
        <v>0.022192667821975039</v>
      </c>
      <c r="AL54" s="151">
        <f t="shared" si="120"/>
        <v>0.014957682141239752</v>
      </c>
      <c r="AM54" s="151">
        <f t="shared" si="120"/>
        <v>0.020976098759599406</v>
      </c>
      <c r="AN54" s="151">
        <f t="shared" si="120"/>
        <v>0.06144225414034734</v>
      </c>
      <c r="AO54" s="151">
        <f t="shared" si="120"/>
        <v>0.023207670734395499</v>
      </c>
      <c r="AP54" s="1089">
        <f t="shared" si="120"/>
        <v>0.030336045672954826</v>
      </c>
      <c r="AQ54" s="151">
        <f t="shared" si="120"/>
        <v>0.032445147046236626</v>
      </c>
      <c r="AR54" s="151">
        <f t="shared" si="120"/>
        <v>0.02773131063849946</v>
      </c>
      <c r="AS54" s="151">
        <f t="shared" si="120"/>
        <v>0.021876211098552697</v>
      </c>
      <c r="AT54" s="151">
        <f t="shared" si="120"/>
        <v>0.025913953116200095</v>
      </c>
      <c r="AU54" s="1089">
        <f t="shared" si="120"/>
        <v>0.02693448785239029</v>
      </c>
      <c r="AV54" s="151">
        <f t="shared" si="120"/>
        <v>0.027881378561641731</v>
      </c>
      <c r="AW54" s="151">
        <f t="shared" si="120"/>
        <v>0.039560050809719159</v>
      </c>
      <c r="AX54" s="151">
        <f t="shared" si="120"/>
        <v>0.053584732153411099</v>
      </c>
      <c r="AY54" s="151">
        <f t="shared" si="120"/>
        <v>0.0060019890292969886</v>
      </c>
      <c r="AZ54" s="1089">
        <f t="shared" si="120"/>
        <v>0.031587195817735163</v>
      </c>
      <c r="BA54" s="151">
        <f t="shared" si="121" ref="BA54:BE54">INDEX(MO_BSS_ROA,0,COLUMN())</f>
        <v>0.036227879225364024</v>
      </c>
      <c r="BB54" s="151">
        <f t="shared" si="121"/>
        <v>0.049353565197415912</v>
      </c>
      <c r="BC54" s="151">
        <f>INDEX(MO_BSS_ROA,0,COLUMN())</f>
        <v>0.048681551410407871</v>
      </c>
      <c r="BD54" s="151">
        <f t="shared" si="121"/>
        <v>0.0084441072096032525</v>
      </c>
      <c r="BE54" s="1089">
        <f t="shared" si="121"/>
        <v>0.035924459166867144</v>
      </c>
      <c r="BF54" s="151">
        <f t="shared" si="122" ref="BF54:BJ54">INDEX(MO_BSS_ROA,0,COLUMN())</f>
        <v>0.060105912555150229</v>
      </c>
      <c r="BG54" s="151">
        <f t="shared" si="122"/>
        <v>0.057642165926841932</v>
      </c>
      <c r="BH54" s="782">
        <f>INDEX(MO_BSS_ROA,0,COLUMN())</f>
        <v>-0.0029763747304578673</v>
      </c>
      <c r="BI54" s="151">
        <f t="shared" ca="1" si="122"/>
        <v>0.026086692557796009</v>
      </c>
      <c r="BJ54" s="1089">
        <f t="shared" ca="1" si="122"/>
        <v>0.034832108432763999</v>
      </c>
      <c r="BK54" s="151">
        <f ca="1" t="shared" si="123" ref="BK54:BR54">INDEX(MO_BSS_ROA,0,COLUMN())</f>
        <v>0.030233978727998843</v>
      </c>
      <c r="BL54" s="151">
        <f t="shared" ca="1" si="123"/>
        <v>0.029796732242742072</v>
      </c>
      <c r="BM54" s="151">
        <f t="shared" ca="1" si="123"/>
        <v>0.028534488611750935</v>
      </c>
      <c r="BN54" s="151">
        <f t="shared" ca="1" si="123"/>
        <v>0.031111981630747639</v>
      </c>
      <c r="BO54" s="1089">
        <f t="shared" ca="1" si="123"/>
        <v>0.029918864925317683</v>
      </c>
      <c r="BP54" s="1089">
        <f t="shared" ca="1" si="123"/>
        <v>0.030788981973558002</v>
      </c>
      <c r="BQ54" s="1089">
        <f t="shared" ca="1" si="123"/>
        <v>0.029499871971593677</v>
      </c>
      <c r="BR54" s="1089">
        <f t="shared" ca="1" si="123"/>
        <v>0.021685230944225205</v>
      </c>
      <c r="BS54" s="272"/>
    </row>
    <row r="55" spans="1:71" ht="15" customHeight="1">
      <c r="A55" s="214" t="s">
        <v>97</v>
      </c>
      <c r="B55" s="215"/>
      <c r="C55" s="1089">
        <f t="shared" si="124" ref="C55:AZ55">INDEX(MO_BSS_ROE,0,COLUMN())</f>
        <v>0</v>
      </c>
      <c r="D55" s="1089">
        <f t="shared" si="124"/>
        <v>0.2407435936938325</v>
      </c>
      <c r="E55" s="1089">
        <f t="shared" si="124"/>
        <v>0.16140321639863345</v>
      </c>
      <c r="F55" s="1089">
        <f t="shared" si="124"/>
        <v>0.19817452634490387</v>
      </c>
      <c r="G55" s="1089">
        <f t="shared" si="124"/>
        <v>0.20641872017778939</v>
      </c>
      <c r="H55" s="151">
        <f t="shared" si="124"/>
        <v>0.19597746677229116</v>
      </c>
      <c r="I55" s="151">
        <f t="shared" si="124"/>
        <v>0.19551670571710292</v>
      </c>
      <c r="J55" s="151">
        <f t="shared" si="124"/>
        <v>0.15819820173785351</v>
      </c>
      <c r="K55" s="151">
        <f t="shared" si="124"/>
        <v>0.15409260148931062</v>
      </c>
      <c r="L55" s="1089">
        <f t="shared" si="124"/>
        <v>0.1755419135317772</v>
      </c>
      <c r="M55" s="151">
        <f t="shared" si="124"/>
        <v>0.1454052202754344</v>
      </c>
      <c r="N55" s="151">
        <f t="shared" si="124"/>
        <v>0.12891862029430393</v>
      </c>
      <c r="O55" s="151">
        <f t="shared" si="124"/>
        <v>0.13127014673738613</v>
      </c>
      <c r="P55" s="151">
        <f t="shared" si="124"/>
        <v>0.16567203341669268</v>
      </c>
      <c r="Q55" s="1089">
        <f t="shared" si="124"/>
        <v>0.14235935480245041</v>
      </c>
      <c r="R55" s="151">
        <f t="shared" si="124"/>
        <v>0.1558517816038556</v>
      </c>
      <c r="S55" s="151">
        <f t="shared" si="124"/>
        <v>0.10354673162688008</v>
      </c>
      <c r="T55" s="151">
        <f t="shared" si="124"/>
        <v>0.11039268057600184</v>
      </c>
      <c r="U55" s="151">
        <f t="shared" si="124"/>
        <v>0.13810404756712866</v>
      </c>
      <c r="V55" s="1089">
        <f t="shared" si="124"/>
        <v>0.12839704092866938</v>
      </c>
      <c r="W55" s="151">
        <f t="shared" si="124"/>
        <v>0.11762720537400856</v>
      </c>
      <c r="X55" s="151">
        <f t="shared" si="124"/>
        <v>0.13669360059437252</v>
      </c>
      <c r="Y55" s="151">
        <f t="shared" si="124"/>
        <v>0.13066477340906363</v>
      </c>
      <c r="Z55" s="151">
        <f t="shared" si="124"/>
        <v>0.44005461037597149</v>
      </c>
      <c r="AA55" s="1089">
        <f t="shared" si="124"/>
        <v>0.21138659320477501</v>
      </c>
      <c r="AB55" s="151">
        <f t="shared" si="124"/>
        <v>0.11896628140874842</v>
      </c>
      <c r="AC55" s="151">
        <f t="shared" si="124"/>
        <v>0.13879605120481031</v>
      </c>
      <c r="AD55" s="151">
        <f t="shared" si="124"/>
        <v>0.1425541375249357</v>
      </c>
      <c r="AE55" s="151">
        <f t="shared" si="124"/>
        <v>0.089380153592896888</v>
      </c>
      <c r="AF55" s="1089">
        <f t="shared" si="124"/>
        <v>0.12229751803050737</v>
      </c>
      <c r="AG55" s="151">
        <f t="shared" si="124"/>
        <v>0.15202906649251904</v>
      </c>
      <c r="AH55" s="151">
        <f t="shared" si="124"/>
        <v>0.1207212386066687</v>
      </c>
      <c r="AI55" s="151">
        <f t="shared" si="124"/>
        <v>0.10689030820500567</v>
      </c>
      <c r="AJ55" s="151">
        <f t="shared" si="124"/>
        <v>0.10625545832833878</v>
      </c>
      <c r="AK55" s="1089">
        <f t="shared" si="124"/>
        <v>0.12133765213112105</v>
      </c>
      <c r="AL55" s="151">
        <f t="shared" si="124"/>
        <v>0.082239828053668126</v>
      </c>
      <c r="AM55" s="151">
        <f t="shared" si="124"/>
        <v>0.11600058427474141</v>
      </c>
      <c r="AN55" s="151">
        <f t="shared" si="124"/>
        <v>0.31569520333614998</v>
      </c>
      <c r="AO55" s="151">
        <f t="shared" si="124"/>
        <v>0.11458027459815626</v>
      </c>
      <c r="AP55" s="1089">
        <f t="shared" si="124"/>
        <v>0.15840179287755521</v>
      </c>
      <c r="AQ55" s="151">
        <f t="shared" si="124"/>
        <v>0.1597220107012681</v>
      </c>
      <c r="AR55" s="151">
        <f t="shared" si="124"/>
        <v>0.13463783399079124</v>
      </c>
      <c r="AS55" s="151">
        <f t="shared" si="124"/>
        <v>0.10471691346800628</v>
      </c>
      <c r="AT55" s="151">
        <f t="shared" si="124"/>
        <v>0.12340751636007458</v>
      </c>
      <c r="AU55" s="1089">
        <f t="shared" si="124"/>
        <v>0.13011275435915332</v>
      </c>
      <c r="AV55" s="151">
        <f t="shared" si="124"/>
        <v>0.13527131782945734</v>
      </c>
      <c r="AW55" s="151">
        <f t="shared" si="124"/>
        <v>0.19999709129444079</v>
      </c>
      <c r="AX55" s="151">
        <f t="shared" si="124"/>
        <v>0.27962262462824661</v>
      </c>
      <c r="AY55" s="151">
        <f t="shared" si="124"/>
        <v>0.033433312365465269</v>
      </c>
      <c r="AZ55" s="1089">
        <f t="shared" si="124"/>
        <v>0.1628047522183898</v>
      </c>
      <c r="BA55" s="151">
        <f t="shared" si="125" ref="BA55:BE55">INDEX(MO_BSS_ROE,0,COLUMN())</f>
        <v>0.22861752354741513</v>
      </c>
      <c r="BB55" s="151">
        <f t="shared" si="125"/>
        <v>0.32588101553618792</v>
      </c>
      <c r="BC55" s="151">
        <f>INDEX(MO_BSS_ROE,0,COLUMN())</f>
        <v>0.28880193729803</v>
      </c>
      <c r="BD55" s="151">
        <f t="shared" si="125"/>
        <v>0.047622200455288102</v>
      </c>
      <c r="BE55" s="1089">
        <f t="shared" si="125"/>
        <v>0.21721900001864938</v>
      </c>
      <c r="BF55" s="151">
        <f t="shared" si="126" ref="BF55:BJ55">INDEX(MO_BSS_ROE,0,COLUMN())</f>
        <v>0.33202832491088718</v>
      </c>
      <c r="BG55" s="151">
        <f t="shared" si="126"/>
        <v>0.28471165813857002</v>
      </c>
      <c r="BH55" s="782">
        <f>INDEX(MO_BSS_ROE,0,COLUMN())</f>
        <v>-0.014544028180496696</v>
      </c>
      <c r="BI55" s="151">
        <f t="shared" ca="1" si="126"/>
        <v>0.13408023199792984</v>
      </c>
      <c r="BJ55" s="1089">
        <f t="shared" ca="1" si="126"/>
        <v>0.18011205554510015</v>
      </c>
      <c r="BK55" s="151">
        <f ca="1" t="shared" si="127" ref="BK55:BR55">INDEX(MO_BSS_ROE,0,COLUMN())</f>
        <v>0.15291154528380035</v>
      </c>
      <c r="BL55" s="151">
        <f t="shared" ca="1" si="127"/>
        <v>0.14783672222750913</v>
      </c>
      <c r="BM55" s="151">
        <f t="shared" ca="1" si="127"/>
        <v>0.13903299148913939</v>
      </c>
      <c r="BN55" s="151">
        <f t="shared" ca="1" si="127"/>
        <v>0.14885306268335954</v>
      </c>
      <c r="BO55" s="1089">
        <f t="shared" ca="1" si="127"/>
        <v>0.1470684119037407</v>
      </c>
      <c r="BP55" s="1089">
        <f t="shared" ca="1" si="127"/>
        <v>0.14051507849155753</v>
      </c>
      <c r="BQ55" s="1089">
        <f t="shared" ca="1" si="127"/>
        <v>0.12585986208357472</v>
      </c>
      <c r="BR55" s="1089">
        <f t="shared" ca="1" si="127"/>
        <v>0.0882928256364965</v>
      </c>
      <c r="BS55" s="272"/>
    </row>
    <row r="56" spans="1:71" ht="15" customHeight="1">
      <c r="A56" s="207"/>
      <c r="B56" s="216"/>
      <c r="C56" s="1090"/>
      <c r="D56" s="1090"/>
      <c r="E56" s="1090"/>
      <c r="F56" s="1090"/>
      <c r="G56" s="1090"/>
      <c r="H56" s="873"/>
      <c r="I56" s="873"/>
      <c r="J56" s="873"/>
      <c r="K56" s="873"/>
      <c r="L56" s="1090"/>
      <c r="M56" s="873"/>
      <c r="N56" s="873"/>
      <c r="O56" s="873"/>
      <c r="P56" s="873"/>
      <c r="Q56" s="1090"/>
      <c r="R56" s="873"/>
      <c r="S56" s="873"/>
      <c r="T56" s="873"/>
      <c r="U56" s="873"/>
      <c r="V56" s="1090"/>
      <c r="W56" s="873"/>
      <c r="X56" s="873"/>
      <c r="Y56" s="873"/>
      <c r="Z56" s="873"/>
      <c r="AA56" s="1090"/>
      <c r="AB56" s="873"/>
      <c r="AC56" s="873"/>
      <c r="AD56" s="873"/>
      <c r="AE56" s="873"/>
      <c r="AF56" s="1090"/>
      <c r="AG56" s="873"/>
      <c r="AH56" s="873"/>
      <c r="AI56" s="873"/>
      <c r="AJ56" s="873"/>
      <c r="AK56" s="1090"/>
      <c r="AL56" s="873"/>
      <c r="AM56" s="873"/>
      <c r="AN56" s="873"/>
      <c r="AO56" s="873"/>
      <c r="AP56" s="1090"/>
      <c r="AQ56" s="873"/>
      <c r="AR56" s="873"/>
      <c r="AS56" s="873"/>
      <c r="AT56" s="873"/>
      <c r="AU56" s="1090"/>
      <c r="AV56" s="873"/>
      <c r="AW56" s="873"/>
      <c r="AX56" s="873"/>
      <c r="AY56" s="873"/>
      <c r="AZ56" s="1090"/>
      <c r="BA56" s="873"/>
      <c r="BB56" s="873"/>
      <c r="BC56" s="873"/>
      <c r="BD56" s="873"/>
      <c r="BE56" s="1090"/>
      <c r="BF56" s="873"/>
      <c r="BG56" s="873"/>
      <c r="BH56" s="874"/>
      <c r="BI56" s="873"/>
      <c r="BJ56" s="1090"/>
      <c r="BK56" s="873"/>
      <c r="BL56" s="873"/>
      <c r="BM56" s="873"/>
      <c r="BN56" s="873"/>
      <c r="BO56" s="1090"/>
      <c r="BP56" s="1090"/>
      <c r="BQ56" s="1090"/>
      <c r="BR56" s="1090"/>
      <c r="BS56" s="821"/>
    </row>
    <row r="57" spans="1:71" ht="15" customHeight="1">
      <c r="A57" s="131" t="s">
        <v>92</v>
      </c>
      <c r="B57" s="819"/>
      <c r="C57" s="867"/>
      <c r="D57" s="867"/>
      <c r="E57" s="867"/>
      <c r="F57" s="867"/>
      <c r="G57" s="867"/>
      <c r="H57" s="867"/>
      <c r="I57" s="867"/>
      <c r="J57" s="867"/>
      <c r="K57" s="867"/>
      <c r="L57" s="867"/>
      <c r="M57" s="867"/>
      <c r="N57" s="867"/>
      <c r="O57" s="867"/>
      <c r="P57" s="867"/>
      <c r="Q57" s="867"/>
      <c r="R57" s="867"/>
      <c r="S57" s="867"/>
      <c r="T57" s="867"/>
      <c r="U57" s="867"/>
      <c r="V57" s="867"/>
      <c r="W57" s="867"/>
      <c r="X57" s="867"/>
      <c r="Y57" s="867"/>
      <c r="Z57" s="867"/>
      <c r="AA57" s="867"/>
      <c r="AB57" s="867"/>
      <c r="AC57" s="867"/>
      <c r="AD57" s="867"/>
      <c r="AE57" s="867"/>
      <c r="AF57" s="867"/>
      <c r="AG57" s="867"/>
      <c r="AH57" s="867"/>
      <c r="AI57" s="867"/>
      <c r="AJ57" s="867"/>
      <c r="AK57" s="867"/>
      <c r="AL57" s="867"/>
      <c r="AM57" s="867"/>
      <c r="AN57" s="867"/>
      <c r="AO57" s="867"/>
      <c r="AP57" s="867"/>
      <c r="AQ57" s="867"/>
      <c r="AR57" s="867"/>
      <c r="AS57" s="867"/>
      <c r="AT57" s="867"/>
      <c r="AU57" s="867"/>
      <c r="AV57" s="867"/>
      <c r="AW57" s="867"/>
      <c r="AX57" s="867"/>
      <c r="AY57" s="867"/>
      <c r="AZ57" s="867"/>
      <c r="BA57" s="867"/>
      <c r="BB57" s="867"/>
      <c r="BC57" s="867"/>
      <c r="BD57" s="867"/>
      <c r="BE57" s="867"/>
      <c r="BF57" s="867"/>
      <c r="BG57" s="867"/>
      <c r="BH57" s="868"/>
      <c r="BI57" s="867"/>
      <c r="BJ57" s="867"/>
      <c r="BK57" s="867"/>
      <c r="BL57" s="867"/>
      <c r="BM57" s="867"/>
      <c r="BN57" s="867"/>
      <c r="BO57" s="867"/>
      <c r="BP57" s="867"/>
      <c r="BQ57" s="867"/>
      <c r="BR57" s="867"/>
      <c r="BS57" s="820"/>
    </row>
    <row r="58" spans="1:71" ht="15">
      <c r="A58" s="211" t="str">
        <f>INDEX(MO_BSS_BVPS,0,COLUMN())</f>
        <v>Book Value per Common Share</v>
      </c>
      <c r="B58" s="212"/>
      <c r="C58" s="1078">
        <f t="shared" si="128" ref="C58:AZ58">INDEX(MO_BSS_BVPS,0,COLUMN())</f>
        <v>8.9816210000000005</v>
      </c>
      <c r="D58" s="1078">
        <f t="shared" si="128"/>
        <v>11.770192</v>
      </c>
      <c r="E58" s="1078">
        <f t="shared" si="128"/>
        <v>13.881323999999999</v>
      </c>
      <c r="F58" s="1078">
        <f t="shared" si="128"/>
        <v>17.078322</v>
      </c>
      <c r="G58" s="1078">
        <f t="shared" si="128"/>
        <v>15.911609</v>
      </c>
      <c r="H58" s="304">
        <f t="shared" si="128"/>
        <v>17.263252000000001</v>
      </c>
      <c r="I58" s="304">
        <f t="shared" si="128"/>
        <v>19.381830000000001</v>
      </c>
      <c r="J58" s="304">
        <f t="shared" si="128"/>
        <v>19.814693999999999</v>
      </c>
      <c r="K58" s="304">
        <f t="shared" si="128"/>
        <v>20.733650999999998</v>
      </c>
      <c r="L58" s="1078">
        <f t="shared" si="128"/>
        <v>20.733650999999998</v>
      </c>
      <c r="M58" s="304">
        <f t="shared" si="128"/>
        <v>21.482533</v>
      </c>
      <c r="N58" s="304">
        <f t="shared" si="128"/>
        <v>19.760019</v>
      </c>
      <c r="O58" s="304">
        <f t="shared" si="128"/>
        <v>20.178124</v>
      </c>
      <c r="P58" s="304">
        <f t="shared" si="128"/>
        <v>20.863377</v>
      </c>
      <c r="Q58" s="1078">
        <f t="shared" si="128"/>
        <v>20.863377</v>
      </c>
      <c r="R58" s="304">
        <f t="shared" si="128"/>
        <v>24.109893</v>
      </c>
      <c r="S58" s="304">
        <f t="shared" si="128"/>
        <v>27.492289</v>
      </c>
      <c r="T58" s="304">
        <f t="shared" si="128"/>
        <v>27.921357</v>
      </c>
      <c r="U58" s="304">
        <f t="shared" si="128"/>
        <v>25.235948</v>
      </c>
      <c r="V58" s="1078">
        <f t="shared" si="128"/>
        <v>25.235948</v>
      </c>
      <c r="W58" s="304">
        <f t="shared" si="128"/>
        <v>25.552634999999999</v>
      </c>
      <c r="X58" s="304">
        <f t="shared" si="128"/>
        <v>27.150321000000002</v>
      </c>
      <c r="Y58" s="304">
        <f t="shared" si="128"/>
        <v>27.898444999999999</v>
      </c>
      <c r="Z58" s="304">
        <f t="shared" si="128"/>
        <v>31.499148000000002</v>
      </c>
      <c r="AA58" s="1078">
        <f t="shared" si="128"/>
        <v>31.499148000000002</v>
      </c>
      <c r="AB58" s="304">
        <f t="shared" si="128"/>
        <v>31.307483999999999</v>
      </c>
      <c r="AC58" s="304">
        <f t="shared" si="128"/>
        <v>30.938341999999999</v>
      </c>
      <c r="AD58" s="304">
        <f t="shared" si="128"/>
        <v>30.446342999999999</v>
      </c>
      <c r="AE58" s="304">
        <f t="shared" si="128"/>
        <v>31.06373</v>
      </c>
      <c r="AF58" s="1078">
        <f t="shared" si="128"/>
        <v>31.06373</v>
      </c>
      <c r="AG58" s="304">
        <f t="shared" si="128"/>
        <v>34.895449999999997</v>
      </c>
      <c r="AH58" s="304">
        <f t="shared" si="128"/>
        <v>38.139547</v>
      </c>
      <c r="AI58" s="304">
        <f t="shared" si="128"/>
        <v>40.044618</v>
      </c>
      <c r="AJ58" s="304">
        <f t="shared" si="128"/>
        <v>39.844907999999997</v>
      </c>
      <c r="AK58" s="1078">
        <f t="shared" si="128"/>
        <v>39.844907999999997</v>
      </c>
      <c r="AL58" s="304">
        <f t="shared" si="128"/>
        <v>36.752034000000002</v>
      </c>
      <c r="AM58" s="304">
        <f t="shared" si="128"/>
        <v>41.209792</v>
      </c>
      <c r="AN58" s="304">
        <f t="shared" si="128"/>
        <v>46.162877000000002</v>
      </c>
      <c r="AO58" s="304">
        <f t="shared" si="128"/>
        <v>48.463869000000003</v>
      </c>
      <c r="AP58" s="1078">
        <f t="shared" si="128"/>
        <v>48.463869000000003</v>
      </c>
      <c r="AQ58" s="304">
        <f t="shared" si="128"/>
        <v>47.161259999999999</v>
      </c>
      <c r="AR58" s="304">
        <f t="shared" si="128"/>
        <v>50.201639999999998</v>
      </c>
      <c r="AS58" s="304">
        <f t="shared" si="128"/>
        <v>50.620306999999997</v>
      </c>
      <c r="AT58" s="304">
        <f t="shared" si="128"/>
        <v>50.991210000000002</v>
      </c>
      <c r="AU58" s="1078">
        <f t="shared" si="128"/>
        <v>50.991210000000002</v>
      </c>
      <c r="AV58" s="304">
        <f t="shared" si="128"/>
        <v>45.753537999999999</v>
      </c>
      <c r="AW58" s="304">
        <f t="shared" si="128"/>
        <v>41.585372</v>
      </c>
      <c r="AX58" s="304">
        <f t="shared" si="128"/>
        <v>38.713318000000001</v>
      </c>
      <c r="AY58" s="304">
        <f t="shared" si="128"/>
        <v>36.350721999999998</v>
      </c>
      <c r="AZ58" s="1078">
        <f t="shared" si="128"/>
        <v>36.350721999999998</v>
      </c>
      <c r="BA58" s="304">
        <f t="shared" si="129" ref="BA58:BE58">INDEX(MO_BSS_BVPS,0,COLUMN())</f>
        <v>32.649450999999999</v>
      </c>
      <c r="BB58" s="304">
        <f t="shared" si="129"/>
        <v>34.295408000000002</v>
      </c>
      <c r="BC58" s="304">
        <f>INDEX(MO_BSS_BVPS,0,COLUMN())</f>
        <v>38.625176000000003</v>
      </c>
      <c r="BD58" s="304">
        <f t="shared" si="129"/>
        <v>38.004837000000002</v>
      </c>
      <c r="BE58" s="1078">
        <f t="shared" si="129"/>
        <v>38.004837000000002</v>
      </c>
      <c r="BF58" s="304">
        <f t="shared" si="130" ref="BF58:BJ58">INDEX(MO_BSS_BVPS,0,COLUMN())</f>
        <v>41.272852999999998</v>
      </c>
      <c r="BG58" s="304">
        <f t="shared" si="130"/>
        <v>46.399070999999999</v>
      </c>
      <c r="BH58" s="773">
        <f>INDEX(MO_BSS_BVPS,0,COLUMN())</f>
        <v>44.600757999999999</v>
      </c>
      <c r="BI58" s="304">
        <f t="shared" ca="1" si="130"/>
        <v>45.621141999999999</v>
      </c>
      <c r="BJ58" s="1078">
        <f t="shared" ca="1" si="130"/>
        <v>45.621141999999999</v>
      </c>
      <c r="BK58" s="304">
        <f ca="1" t="shared" si="131" ref="BK58:BR58">INDEX(MO_BSS_BVPS,0,COLUMN())</f>
        <v>46.864694999999998</v>
      </c>
      <c r="BL58" s="304">
        <f t="shared" ca="1" si="131"/>
        <v>48.115074</v>
      </c>
      <c r="BM58" s="304">
        <f t="shared" ca="1" si="131"/>
        <v>49.322369000000002</v>
      </c>
      <c r="BN58" s="304">
        <f t="shared" ca="1" si="131"/>
        <v>50.698720999999999</v>
      </c>
      <c r="BO58" s="1078">
        <f t="shared" ca="1" si="131"/>
        <v>50.698720999999999</v>
      </c>
      <c r="BP58" s="1078">
        <f t="shared" ca="1" si="131"/>
        <v>56.209854999999997</v>
      </c>
      <c r="BQ58" s="1078">
        <f t="shared" ca="1" si="131"/>
        <v>61.625207000000003</v>
      </c>
      <c r="BR58" s="1078">
        <f t="shared" ca="1" si="131"/>
        <v>65.225198000000006</v>
      </c>
      <c r="BS58" s="271"/>
    </row>
    <row r="59" spans="1:71" ht="15">
      <c r="A59" s="211" t="str">
        <f>INDEX(MO_BSS_BVPS_Adj,0,COLUMN())</f>
        <v>Adjusted Value per Common Share</v>
      </c>
      <c r="B59" s="212"/>
      <c r="C59" s="1078">
        <f t="shared" si="132" ref="C59:AZ59">INDEX(MO_BSS_BVPS_Adj,0,COLUMN())</f>
        <v>8.9816210000000005</v>
      </c>
      <c r="D59" s="1078">
        <f t="shared" si="132"/>
        <v>11.770192</v>
      </c>
      <c r="E59" s="1078">
        <f t="shared" si="132"/>
        <v>13.881323999999999</v>
      </c>
      <c r="F59" s="1078">
        <f t="shared" si="132"/>
        <v>17.078322</v>
      </c>
      <c r="G59" s="1078">
        <f t="shared" si="132"/>
        <v>15.911609</v>
      </c>
      <c r="H59" s="304">
        <f t="shared" si="132"/>
        <v>17.263252000000001</v>
      </c>
      <c r="I59" s="304">
        <f t="shared" si="132"/>
        <v>19.381830000000001</v>
      </c>
      <c r="J59" s="304">
        <f t="shared" si="132"/>
        <v>19.814693999999999</v>
      </c>
      <c r="K59" s="304">
        <f t="shared" si="132"/>
        <v>20.733650999999998</v>
      </c>
      <c r="L59" s="1078">
        <f t="shared" si="132"/>
        <v>20.733650999999998</v>
      </c>
      <c r="M59" s="304">
        <f t="shared" si="132"/>
        <v>21.482533</v>
      </c>
      <c r="N59" s="304">
        <f t="shared" si="132"/>
        <v>19.760019</v>
      </c>
      <c r="O59" s="304">
        <f t="shared" si="132"/>
        <v>20.178124</v>
      </c>
      <c r="P59" s="304">
        <f t="shared" si="132"/>
        <v>20.863377</v>
      </c>
      <c r="Q59" s="1078">
        <f t="shared" si="132"/>
        <v>20.863377</v>
      </c>
      <c r="R59" s="304">
        <f t="shared" si="132"/>
        <v>24.109893</v>
      </c>
      <c r="S59" s="304">
        <f t="shared" si="132"/>
        <v>27.492289</v>
      </c>
      <c r="T59" s="304">
        <f t="shared" si="132"/>
        <v>27.921357</v>
      </c>
      <c r="U59" s="304">
        <f t="shared" si="132"/>
        <v>21.995515000000001</v>
      </c>
      <c r="V59" s="1078">
        <f t="shared" si="132"/>
        <v>21.995515000000001</v>
      </c>
      <c r="W59" s="304">
        <f t="shared" si="132"/>
        <v>22.246119</v>
      </c>
      <c r="X59" s="304">
        <f t="shared" si="132"/>
        <v>22.856117999999999</v>
      </c>
      <c r="Y59" s="304">
        <f t="shared" si="132"/>
        <v>23.416058</v>
      </c>
      <c r="Z59" s="304">
        <f t="shared" si="132"/>
        <v>26.341063999999999</v>
      </c>
      <c r="AA59" s="1078">
        <f t="shared" si="132"/>
        <v>26.341063999999999</v>
      </c>
      <c r="AB59" s="304">
        <f t="shared" si="132"/>
        <v>26.557285</v>
      </c>
      <c r="AC59" s="304">
        <f t="shared" si="132"/>
        <v>27.23094</v>
      </c>
      <c r="AD59" s="304">
        <f t="shared" si="132"/>
        <v>27.944747</v>
      </c>
      <c r="AE59" s="304">
        <f t="shared" si="132"/>
        <v>28.215802</v>
      </c>
      <c r="AF59" s="1078">
        <f t="shared" si="132"/>
        <v>28.215802</v>
      </c>
      <c r="AG59" s="304">
        <f t="shared" si="132"/>
        <v>28.892666999999999</v>
      </c>
      <c r="AH59" s="304">
        <f t="shared" si="132"/>
        <v>29.544948000000002</v>
      </c>
      <c r="AI59" s="304">
        <f t="shared" si="132"/>
        <v>30.181056000000002</v>
      </c>
      <c r="AJ59" s="304">
        <f t="shared" si="132"/>
        <v>30.743279000000001</v>
      </c>
      <c r="AK59" s="1078">
        <f t="shared" si="132"/>
        <v>30.743279000000001</v>
      </c>
      <c r="AL59" s="304">
        <f t="shared" si="132"/>
        <v>30.922267000000002</v>
      </c>
      <c r="AM59" s="304">
        <f t="shared" si="132"/>
        <v>31.754791999999998</v>
      </c>
      <c r="AN59" s="304">
        <f t="shared" si="132"/>
        <v>34.910328999999997</v>
      </c>
      <c r="AO59" s="304">
        <f t="shared" si="132"/>
        <v>35.561928999999999</v>
      </c>
      <c r="AP59" s="1078">
        <f t="shared" si="132"/>
        <v>35.561928999999999</v>
      </c>
      <c r="AQ59" s="304">
        <f t="shared" si="132"/>
        <v>37.161363000000001</v>
      </c>
      <c r="AR59" s="304">
        <f t="shared" si="132"/>
        <v>38.268427000000003</v>
      </c>
      <c r="AS59" s="304">
        <f t="shared" si="132"/>
        <v>39.060555000000001</v>
      </c>
      <c r="AT59" s="304">
        <f t="shared" si="132"/>
        <v>39.654547999999998</v>
      </c>
      <c r="AU59" s="1078">
        <f t="shared" si="132"/>
        <v>39.654547999999998</v>
      </c>
      <c r="AV59" s="304">
        <f t="shared" si="132"/>
        <v>40.929791000000002</v>
      </c>
      <c r="AW59" s="304">
        <f t="shared" si="132"/>
        <v>42.449008999999997</v>
      </c>
      <c r="AX59" s="304">
        <f t="shared" si="132"/>
        <v>44.341110999999998</v>
      </c>
      <c r="AY59" s="304">
        <f t="shared" si="132"/>
        <v>43.510344000000003</v>
      </c>
      <c r="AZ59" s="1078">
        <f t="shared" si="132"/>
        <v>43.510344000000003</v>
      </c>
      <c r="BA59" s="304">
        <f t="shared" si="133" ref="BA59:BE59">INDEX(MO_BSS_BVPS_Adj,0,COLUMN())</f>
        <v>44.660302999999999</v>
      </c>
      <c r="BB59" s="304">
        <f t="shared" si="133"/>
        <v>46.608128999999998</v>
      </c>
      <c r="BC59" s="304">
        <f>INDEX(MO_BSS_BVPS_Adj,0,COLUMN())</f>
        <v>48.439504999999997</v>
      </c>
      <c r="BD59" s="304">
        <f t="shared" si="133"/>
        <v>47.547102000000002</v>
      </c>
      <c r="BE59" s="1078">
        <f t="shared" si="133"/>
        <v>47.547102000000002</v>
      </c>
      <c r="BF59" s="304">
        <f t="shared" si="134" ref="BF59:BJ59">INDEX(MO_BSS_BVPS_Adj,0,COLUMN())</f>
        <v>50.219366999999998</v>
      </c>
      <c r="BG59" s="304">
        <f t="shared" si="134"/>
        <v>52.263306</v>
      </c>
      <c r="BH59" s="773">
        <f>INDEX(MO_BSS_BVPS_Adj,0,COLUMN())</f>
        <v>51.205550000000002</v>
      </c>
      <c r="BI59" s="304">
        <f t="shared" ca="1" si="134"/>
        <v>52.069661000000004</v>
      </c>
      <c r="BJ59" s="1078">
        <f t="shared" ca="1" si="134"/>
        <v>52.069661000000004</v>
      </c>
      <c r="BK59" s="304">
        <f ca="1" t="shared" si="135" ref="BK59:BR59">INDEX(MO_BSS_BVPS_Adj,0,COLUMN())</f>
        <v>53.313214000000002</v>
      </c>
      <c r="BL59" s="304">
        <f t="shared" ca="1" si="135"/>
        <v>54.563592999999997</v>
      </c>
      <c r="BM59" s="304">
        <f t="shared" ca="1" si="135"/>
        <v>55.770887999999999</v>
      </c>
      <c r="BN59" s="304">
        <f t="shared" ca="1" si="135"/>
        <v>57.147239999999996</v>
      </c>
      <c r="BO59" s="1078">
        <f t="shared" ca="1" si="135"/>
        <v>57.147239999999996</v>
      </c>
      <c r="BP59" s="1078">
        <f t="shared" ca="1" si="135"/>
        <v>62.658374000000002</v>
      </c>
      <c r="BQ59" s="1078">
        <f t="shared" ca="1" si="135"/>
        <v>68.073725999999994</v>
      </c>
      <c r="BR59" s="1078">
        <f t="shared" ca="1" si="135"/>
        <v>71.673715999999999</v>
      </c>
      <c r="BS59" s="271"/>
    </row>
    <row r="60" spans="1:71" ht="15">
      <c r="A60" s="211"/>
      <c r="B60" s="212"/>
      <c r="C60" s="1078"/>
      <c r="D60" s="1078"/>
      <c r="E60" s="1078"/>
      <c r="F60" s="1078"/>
      <c r="G60" s="1078"/>
      <c r="H60" s="304"/>
      <c r="I60" s="304"/>
      <c r="J60" s="304"/>
      <c r="K60" s="304"/>
      <c r="L60" s="1078"/>
      <c r="M60" s="304"/>
      <c r="N60" s="304"/>
      <c r="O60" s="304"/>
      <c r="P60" s="304"/>
      <c r="Q60" s="1078"/>
      <c r="R60" s="304"/>
      <c r="S60" s="304"/>
      <c r="T60" s="304"/>
      <c r="U60" s="304"/>
      <c r="V60" s="1078"/>
      <c r="W60" s="304"/>
      <c r="X60" s="304"/>
      <c r="Y60" s="304"/>
      <c r="Z60" s="304"/>
      <c r="AA60" s="1078"/>
      <c r="AB60" s="304"/>
      <c r="AC60" s="304"/>
      <c r="AD60" s="304"/>
      <c r="AE60" s="304"/>
      <c r="AF60" s="1078"/>
      <c r="AG60" s="304"/>
      <c r="AH60" s="304"/>
      <c r="AI60" s="304"/>
      <c r="AJ60" s="304"/>
      <c r="AK60" s="1078"/>
      <c r="AL60" s="304"/>
      <c r="AM60" s="304"/>
      <c r="AN60" s="304"/>
      <c r="AO60" s="304"/>
      <c r="AP60" s="1078"/>
      <c r="AQ60" s="304"/>
      <c r="AR60" s="304"/>
      <c r="AS60" s="304"/>
      <c r="AT60" s="304"/>
      <c r="AU60" s="1078"/>
      <c r="AV60" s="304"/>
      <c r="AW60" s="304"/>
      <c r="AX60" s="304"/>
      <c r="AY60" s="304"/>
      <c r="AZ60" s="1078"/>
      <c r="BA60" s="304"/>
      <c r="BB60" s="304"/>
      <c r="BC60" s="304"/>
      <c r="BD60" s="304"/>
      <c r="BE60" s="1078"/>
      <c r="BF60" s="304"/>
      <c r="BG60" s="304"/>
      <c r="BH60" s="773"/>
      <c r="BI60" s="304"/>
      <c r="BJ60" s="1078"/>
      <c r="BK60" s="304"/>
      <c r="BL60" s="304"/>
      <c r="BM60" s="304"/>
      <c r="BN60" s="304"/>
      <c r="BO60" s="1078"/>
      <c r="BP60" s="1078"/>
      <c r="BQ60" s="1078"/>
      <c r="BR60" s="1078"/>
      <c r="BS60" s="271"/>
    </row>
    <row r="61" spans="1:71" ht="15">
      <c r="A61" s="131" t="s">
        <v>258</v>
      </c>
      <c r="B61" s="819"/>
      <c r="C61" s="867"/>
      <c r="D61" s="867"/>
      <c r="E61" s="867"/>
      <c r="F61" s="867"/>
      <c r="G61" s="867"/>
      <c r="H61" s="867"/>
      <c r="I61" s="867"/>
      <c r="J61" s="867"/>
      <c r="K61" s="867"/>
      <c r="L61" s="867"/>
      <c r="M61" s="867"/>
      <c r="N61" s="867"/>
      <c r="O61" s="867"/>
      <c r="P61" s="867"/>
      <c r="Q61" s="867"/>
      <c r="R61" s="867"/>
      <c r="S61" s="867"/>
      <c r="T61" s="867"/>
      <c r="U61" s="867"/>
      <c r="V61" s="867"/>
      <c r="W61" s="867"/>
      <c r="X61" s="867"/>
      <c r="Y61" s="867"/>
      <c r="Z61" s="867"/>
      <c r="AA61" s="867"/>
      <c r="AB61" s="867"/>
      <c r="AC61" s="867"/>
      <c r="AD61" s="867"/>
      <c r="AE61" s="867"/>
      <c r="AF61" s="867"/>
      <c r="AG61" s="867"/>
      <c r="AH61" s="867"/>
      <c r="AI61" s="867"/>
      <c r="AJ61" s="867"/>
      <c r="AK61" s="867"/>
      <c r="AL61" s="867"/>
      <c r="AM61" s="867"/>
      <c r="AN61" s="867"/>
      <c r="AO61" s="867"/>
      <c r="AP61" s="867"/>
      <c r="AQ61" s="867"/>
      <c r="AR61" s="867"/>
      <c r="AS61" s="867"/>
      <c r="AT61" s="867"/>
      <c r="AU61" s="867"/>
      <c r="AV61" s="867"/>
      <c r="AW61" s="867"/>
      <c r="AX61" s="867"/>
      <c r="AY61" s="867"/>
      <c r="AZ61" s="867"/>
      <c r="BA61" s="867"/>
      <c r="BB61" s="867"/>
      <c r="BC61" s="867"/>
      <c r="BD61" s="867"/>
      <c r="BE61" s="867"/>
      <c r="BF61" s="867"/>
      <c r="BG61" s="867"/>
      <c r="BH61" s="868"/>
      <c r="BI61" s="867"/>
      <c r="BJ61" s="867"/>
      <c r="BK61" s="867"/>
      <c r="BL61" s="867"/>
      <c r="BM61" s="867"/>
      <c r="BN61" s="867"/>
      <c r="BO61" s="867"/>
      <c r="BP61" s="867"/>
      <c r="BQ61" s="867"/>
      <c r="BR61" s="867"/>
      <c r="BS61" s="820"/>
    </row>
    <row r="62" spans="1:71" ht="15">
      <c r="A62" s="217" t="str">
        <f>INDEX(MO_VA_P_ToE,0,COLUMN())</f>
        <v>P/E - EoP</v>
      </c>
      <c r="B62" s="218"/>
      <c r="C62" s="1091">
        <f>INDEX(MO_VA_P_ToE,0,COLUMN())</f>
        <v>9.6573005884936318</v>
      </c>
      <c r="D62" s="1091">
        <f>INDEX(MO_VA_P_ToE,0,COLUMN())</f>
        <v>10.135728666921313</v>
      </c>
      <c r="E62" s="1091">
        <f>INDEX(MO_VA_P_ToE,0,COLUMN())</f>
        <v>6.8923782077393074</v>
      </c>
      <c r="F62" s="1091">
        <f>INDEX(MO_VA_P_ToE,0,COLUMN())</f>
        <v>7.917418711656441</v>
      </c>
      <c r="G62" s="1091">
        <f>INDEX(MO_VA_P_ToE,0,COLUMN())</f>
        <v>10.797173370280568</v>
      </c>
      <c r="H62" s="153"/>
      <c r="I62" s="153"/>
      <c r="J62" s="153"/>
      <c r="K62" s="153"/>
      <c r="L62" s="1091">
        <f>INDEX(MO_VA_P_ToE,0,COLUMN())</f>
        <v>10.060393278512691</v>
      </c>
      <c r="M62" s="153"/>
      <c r="N62" s="153"/>
      <c r="O62" s="153"/>
      <c r="P62" s="153"/>
      <c r="Q62" s="1091">
        <f>INDEX(MO_VA_P_ToE,0,COLUMN())</f>
        <v>9.8222440764331207</v>
      </c>
      <c r="R62" s="153"/>
      <c r="S62" s="154"/>
      <c r="T62" s="154"/>
      <c r="U62" s="153"/>
      <c r="V62" s="1091">
        <f>INDEX(MO_VA_P_ToE,0,COLUMN())</f>
        <v>10.709628847583641</v>
      </c>
      <c r="W62" s="154"/>
      <c r="X62" s="154"/>
      <c r="Y62" s="154"/>
      <c r="Z62" s="153"/>
      <c r="AA62" s="1091">
        <f>INDEX(MO_VA_P_ToE,0,COLUMN())</f>
        <v>11.711730903010034</v>
      </c>
      <c r="AB62" s="154"/>
      <c r="AC62" s="154"/>
      <c r="AD62" s="154"/>
      <c r="AE62" s="153"/>
      <c r="AF62" s="1091">
        <f>INDEX(MO_VA_P_ToE,0,COLUMN())</f>
        <v>10.888216854283929</v>
      </c>
      <c r="AG62" s="154"/>
      <c r="AH62" s="154"/>
      <c r="AI62" s="154"/>
      <c r="AJ62" s="153"/>
      <c r="AK62" s="1091">
        <f>INDEX(MO_VA_P_ToE,0,COLUMN())</f>
        <v>11.932924583207033</v>
      </c>
      <c r="AL62" s="154"/>
      <c r="AM62" s="154"/>
      <c r="AN62" s="154"/>
      <c r="AO62" s="154"/>
      <c r="AP62" s="1091">
        <f>INDEX(MO_VA_P_ToE,0,COLUMN())</f>
        <v>8.9518914853734728</v>
      </c>
      <c r="AQ62" s="154"/>
      <c r="AR62" s="154"/>
      <c r="AS62" s="154"/>
      <c r="AT62" s="154"/>
      <c r="AU62" s="1091">
        <f>INDEX(MO_VA_P_ToE,0,COLUMN())</f>
        <v>9.7681168942568419</v>
      </c>
      <c r="AV62" s="154"/>
      <c r="AW62" s="154"/>
      <c r="AX62" s="154"/>
      <c r="AY62" s="154"/>
      <c r="AZ62" s="1091">
        <f>INDEX(MO_VA_P_ToE,0,COLUMN())</f>
        <v>12.696623498477718</v>
      </c>
      <c r="BA62" s="154"/>
      <c r="BB62" s="154"/>
      <c r="BC62" s="154"/>
      <c r="BD62" s="154"/>
      <c r="BE62" s="1091">
        <f>INDEX(MO_VA_P_ToE,0,COLUMN())</f>
        <v>12.840255393813361</v>
      </c>
      <c r="BF62" s="154"/>
      <c r="BG62" s="154"/>
      <c r="BH62" s="783"/>
      <c r="BI62" s="154"/>
      <c r="BJ62" s="1091">
        <f ca="1">INDEX(MO_VA_P_ToE,0,COLUMN())</f>
        <v>14.330422614585473</v>
      </c>
      <c r="BK62" s="154"/>
      <c r="BL62" s="154"/>
      <c r="BM62" s="154"/>
      <c r="BN62" s="154"/>
      <c r="BO62" s="1091">
        <f ca="1">INDEX(MO_VA_P_ToE,0,COLUMN())</f>
        <v>15.123257170852956</v>
      </c>
      <c r="BP62" s="1091">
        <f ca="1">INDEX(MO_VA_P_ToE,0,COLUMN())</f>
        <v>14.253262222383656</v>
      </c>
      <c r="BQ62" s="1091">
        <f ca="1">INDEX(MO_VA_P_ToE,0,COLUMN())</f>
        <v>14.449725929923881</v>
      </c>
      <c r="BR62" s="1091">
        <f ca="1">INDEX(MO_VA_P_ToE,0,COLUMN())</f>
        <v>19.129891198491574</v>
      </c>
      <c r="BS62" s="154"/>
    </row>
    <row r="63" spans="1:71" ht="15">
      <c r="A63" s="217" t="str">
        <f>INDEX(MO_VA_P_ToB,0,COLUMN())</f>
        <v>P/B - EoP</v>
      </c>
      <c r="B63" s="218"/>
      <c r="C63" s="1091">
        <f>INDEX(MO_VA_P_ToB,0,COLUMN())</f>
        <v>2.6097738927082315</v>
      </c>
      <c r="D63" s="1091">
        <f>INDEX(MO_VA_P_ToB,0,COLUMN())</f>
        <v>2.3827138928574829</v>
      </c>
      <c r="E63" s="1091">
        <f>INDEX(MO_VA_P_ToB,0,COLUMN())</f>
        <v>1.5582087126559396</v>
      </c>
      <c r="F63" s="1091">
        <f>INDEX(MO_VA_P_ToB,0,COLUMN())</f>
        <v>1.5297170295770275</v>
      </c>
      <c r="G63" s="1091">
        <f>INDEX(MO_VA_P_ToB,0,COLUMN())</f>
        <v>2.0956397307148511</v>
      </c>
      <c r="H63" s="153"/>
      <c r="I63" s="153"/>
      <c r="J63" s="153"/>
      <c r="K63" s="153"/>
      <c r="L63" s="1091">
        <f>INDEX(MO_VA_P_ToB,0,COLUMN())</f>
        <v>1.4946716330857504</v>
      </c>
      <c r="M63" s="153"/>
      <c r="N63" s="153"/>
      <c r="O63" s="153"/>
      <c r="P63" s="153"/>
      <c r="Q63" s="1091">
        <f>INDEX(MO_VA_P_ToB,0,COLUMN())</f>
        <v>1.4503884006889203</v>
      </c>
      <c r="R63" s="153"/>
      <c r="S63" s="154"/>
      <c r="T63" s="154"/>
      <c r="U63" s="153"/>
      <c r="V63" s="1091">
        <f>INDEX(MO_VA_P_ToB,0,COLUMN())</f>
        <v>1.37898524755242</v>
      </c>
      <c r="W63" s="154"/>
      <c r="X63" s="154"/>
      <c r="Y63" s="154"/>
      <c r="Z63" s="153"/>
      <c r="AA63" s="1091">
        <f>INDEX(MO_VA_P_ToB,0,COLUMN())</f>
        <v>1.3933710207018932</v>
      </c>
      <c r="AB63" s="154"/>
      <c r="AC63" s="154"/>
      <c r="AD63" s="154"/>
      <c r="AE63" s="153"/>
      <c r="AF63" s="1091">
        <f>INDEX(MO_VA_P_ToB,0,COLUMN())</f>
        <v>1.4470251962658702</v>
      </c>
      <c r="AG63" s="154"/>
      <c r="AH63" s="154"/>
      <c r="AI63" s="154"/>
      <c r="AJ63" s="153"/>
      <c r="AK63" s="1091">
        <f>INDEX(MO_VA_P_ToB,0,COLUMN())</f>
        <v>1.3236321188142788</v>
      </c>
      <c r="AL63" s="154"/>
      <c r="AM63" s="154"/>
      <c r="AN63" s="154"/>
      <c r="AO63" s="154"/>
      <c r="AP63" s="1091">
        <f>INDEX(MO_VA_P_ToB,0,COLUMN())</f>
        <v>0.90809918622056351</v>
      </c>
      <c r="AQ63" s="154"/>
      <c r="AR63" s="154"/>
      <c r="AS63" s="154"/>
      <c r="AT63" s="154"/>
      <c r="AU63" s="1091">
        <f>INDEX(MO_VA_P_ToB,0,COLUMN())</f>
        <v>1.1484332299625759</v>
      </c>
      <c r="AV63" s="154"/>
      <c r="AW63" s="154"/>
      <c r="AX63" s="154"/>
      <c r="AY63" s="154"/>
      <c r="AZ63" s="1091">
        <f>INDEX(MO_VA_P_ToB,0,COLUMN())</f>
        <v>1.9790528507246707</v>
      </c>
      <c r="BA63" s="154"/>
      <c r="BB63" s="154"/>
      <c r="BC63" s="154"/>
      <c r="BD63" s="154"/>
      <c r="BE63" s="1091">
        <f>INDEX(MO_VA_P_ToB,0,COLUMN())</f>
        <v>2.170776314604375</v>
      </c>
      <c r="BF63" s="154"/>
      <c r="BG63" s="154"/>
      <c r="BH63" s="783"/>
      <c r="BI63" s="154"/>
      <c r="BJ63" s="1091">
        <f ca="1">INDEX(MO_VA_P_ToB,0,COLUMN())</f>
        <v>2.290823846540273</v>
      </c>
      <c r="BK63" s="154"/>
      <c r="BL63" s="154"/>
      <c r="BM63" s="154"/>
      <c r="BN63" s="154"/>
      <c r="BO63" s="1091">
        <f ca="1">INDEX(MO_VA_P_ToB,0,COLUMN())</f>
        <v>2.0613932252847169</v>
      </c>
      <c r="BP63" s="1091">
        <f ca="1">INDEX(MO_VA_P_ToB,0,COLUMN())</f>
        <v>1.8592825048205517</v>
      </c>
      <c r="BQ63" s="1091">
        <f ca="1">INDEX(MO_VA_P_ToB,0,COLUMN())</f>
        <v>1.6958969403542936</v>
      </c>
      <c r="BR63" s="1091">
        <f ca="1">INDEX(MO_VA_P_ToB,0,COLUMN())</f>
        <v>1.6022948676982167</v>
      </c>
      <c r="BS63" s="154"/>
    </row>
    <row r="64" spans="1:71" ht="15">
      <c r="A64" s="219"/>
      <c r="B64" s="210"/>
      <c r="C64" s="1092"/>
      <c r="D64" s="1092"/>
      <c r="E64" s="1092"/>
      <c r="F64" s="1092"/>
      <c r="G64" s="1092"/>
      <c r="H64" s="187"/>
      <c r="I64" s="187"/>
      <c r="J64" s="187"/>
      <c r="K64" s="187"/>
      <c r="L64" s="1092"/>
      <c r="M64" s="187"/>
      <c r="N64" s="187"/>
      <c r="O64" s="187"/>
      <c r="P64" s="187"/>
      <c r="Q64" s="1092"/>
      <c r="R64" s="187"/>
      <c r="S64" s="187"/>
      <c r="T64" s="187"/>
      <c r="U64" s="187"/>
      <c r="V64" s="1092"/>
      <c r="W64" s="187"/>
      <c r="X64" s="187"/>
      <c r="Y64" s="187"/>
      <c r="Z64" s="187"/>
      <c r="AA64" s="1092"/>
      <c r="AB64" s="187"/>
      <c r="AC64" s="187"/>
      <c r="AD64" s="187"/>
      <c r="AE64" s="187"/>
      <c r="AF64" s="1092"/>
      <c r="AG64" s="187"/>
      <c r="AH64" s="187"/>
      <c r="AI64" s="187"/>
      <c r="AJ64" s="187"/>
      <c r="AK64" s="1092"/>
      <c r="AL64" s="187"/>
      <c r="AM64" s="187"/>
      <c r="AN64" s="187"/>
      <c r="AO64" s="187"/>
      <c r="AP64" s="1092"/>
      <c r="AQ64" s="187"/>
      <c r="AR64" s="187"/>
      <c r="AS64" s="187"/>
      <c r="AT64" s="187"/>
      <c r="AU64" s="1092"/>
      <c r="AV64" s="187"/>
      <c r="AW64" s="187"/>
      <c r="AX64" s="187"/>
      <c r="AY64" s="187"/>
      <c r="AZ64" s="1092"/>
      <c r="BA64" s="187"/>
      <c r="BB64" s="187"/>
      <c r="BC64" s="187"/>
      <c r="BD64" s="187"/>
      <c r="BE64" s="1092"/>
      <c r="BF64" s="187"/>
      <c r="BG64" s="187"/>
      <c r="BH64" s="784"/>
      <c r="BI64" s="187"/>
      <c r="BJ64" s="1092"/>
      <c r="BK64" s="187"/>
      <c r="BL64" s="187"/>
      <c r="BM64" s="187"/>
      <c r="BN64" s="187"/>
      <c r="BO64" s="1092"/>
      <c r="BP64" s="1092"/>
      <c r="BQ64" s="1092"/>
      <c r="BR64" s="1092"/>
      <c r="BS64" s="209"/>
    </row>
    <row r="65" spans="1:71" ht="15">
      <c r="A65" s="131" t="s">
        <v>259</v>
      </c>
      <c r="B65" s="819"/>
      <c r="C65" s="867"/>
      <c r="D65" s="867"/>
      <c r="E65" s="867"/>
      <c r="F65" s="867"/>
      <c r="G65" s="867"/>
      <c r="H65" s="867"/>
      <c r="I65" s="867"/>
      <c r="J65" s="867"/>
      <c r="K65" s="867"/>
      <c r="L65" s="867"/>
      <c r="M65" s="867"/>
      <c r="N65" s="867"/>
      <c r="O65" s="867"/>
      <c r="P65" s="867"/>
      <c r="Q65" s="867"/>
      <c r="R65" s="867"/>
      <c r="S65" s="867"/>
      <c r="T65" s="867"/>
      <c r="U65" s="867"/>
      <c r="V65" s="867"/>
      <c r="W65" s="867"/>
      <c r="X65" s="867"/>
      <c r="Y65" s="867"/>
      <c r="Z65" s="867"/>
      <c r="AA65" s="867"/>
      <c r="AB65" s="867"/>
      <c r="AC65" s="867"/>
      <c r="AD65" s="867"/>
      <c r="AE65" s="867"/>
      <c r="AF65" s="867"/>
      <c r="AG65" s="867"/>
      <c r="AH65" s="867"/>
      <c r="AI65" s="867"/>
      <c r="AJ65" s="867"/>
      <c r="AK65" s="867"/>
      <c r="AL65" s="867"/>
      <c r="AM65" s="867"/>
      <c r="AN65" s="867"/>
      <c r="AO65" s="867"/>
      <c r="AP65" s="867"/>
      <c r="AQ65" s="867"/>
      <c r="AR65" s="867"/>
      <c r="AS65" s="867"/>
      <c r="AT65" s="867"/>
      <c r="AU65" s="867"/>
      <c r="AV65" s="867"/>
      <c r="AW65" s="867"/>
      <c r="AX65" s="867"/>
      <c r="AY65" s="867"/>
      <c r="AZ65" s="867"/>
      <c r="BA65" s="867"/>
      <c r="BB65" s="867"/>
      <c r="BC65" s="867"/>
      <c r="BD65" s="867"/>
      <c r="BE65" s="867"/>
      <c r="BF65" s="867"/>
      <c r="BG65" s="867"/>
      <c r="BH65" s="868"/>
      <c r="BI65" s="867"/>
      <c r="BJ65" s="867"/>
      <c r="BK65" s="867"/>
      <c r="BL65" s="867"/>
      <c r="BM65" s="867"/>
      <c r="BN65" s="867"/>
      <c r="BO65" s="867"/>
      <c r="BP65" s="867"/>
      <c r="BQ65" s="867"/>
      <c r="BR65" s="867"/>
      <c r="BS65" s="209"/>
    </row>
    <row r="66" spans="1:71" ht="15" hidden="1" outlineLevel="1">
      <c r="A66" s="820" t="s">
        <v>260</v>
      </c>
      <c r="B66" s="249"/>
      <c r="C66" s="852">
        <f t="shared" si="136" ref="C66:AZ66">ROUND(INDEX(SP_GF_NI,0,COLUMN())-INDEX(MO_RIS_NI_GAAP_Basic,0,COLUMN()),6)</f>
        <v>0</v>
      </c>
      <c r="D66" s="852">
        <f t="shared" si="136"/>
        <v>0</v>
      </c>
      <c r="E66" s="852">
        <f t="shared" si="136"/>
        <v>0</v>
      </c>
      <c r="F66" s="852">
        <f t="shared" si="136"/>
        <v>0</v>
      </c>
      <c r="G66" s="852">
        <f t="shared" si="136"/>
        <v>0</v>
      </c>
      <c r="H66" s="852">
        <f t="shared" si="136"/>
        <v>0</v>
      </c>
      <c r="I66" s="852">
        <f t="shared" si="136"/>
        <v>0</v>
      </c>
      <c r="J66" s="852">
        <f t="shared" si="136"/>
        <v>0</v>
      </c>
      <c r="K66" s="852">
        <f t="shared" si="136"/>
        <v>0</v>
      </c>
      <c r="L66" s="852">
        <f t="shared" si="136"/>
        <v>0</v>
      </c>
      <c r="M66" s="852">
        <f t="shared" si="136"/>
        <v>0</v>
      </c>
      <c r="N66" s="852">
        <f t="shared" si="136"/>
        <v>0</v>
      </c>
      <c r="O66" s="852">
        <f t="shared" si="136"/>
        <v>0</v>
      </c>
      <c r="P66" s="852">
        <f t="shared" si="136"/>
        <v>0</v>
      </c>
      <c r="Q66" s="852">
        <f t="shared" si="136"/>
        <v>0</v>
      </c>
      <c r="R66" s="852">
        <f t="shared" si="136"/>
        <v>0</v>
      </c>
      <c r="S66" s="852">
        <f t="shared" si="136"/>
        <v>0</v>
      </c>
      <c r="T66" s="852">
        <f t="shared" si="136"/>
        <v>0</v>
      </c>
      <c r="U66" s="852">
        <f t="shared" si="136"/>
        <v>0</v>
      </c>
      <c r="V66" s="852">
        <f t="shared" si="136"/>
        <v>0</v>
      </c>
      <c r="W66" s="852">
        <f t="shared" si="136"/>
        <v>0</v>
      </c>
      <c r="X66" s="852">
        <f t="shared" si="136"/>
        <v>0</v>
      </c>
      <c r="Y66" s="852">
        <f t="shared" si="136"/>
        <v>0</v>
      </c>
      <c r="Z66" s="852">
        <f t="shared" si="136"/>
        <v>0</v>
      </c>
      <c r="AA66" s="852">
        <f t="shared" si="136"/>
        <v>0</v>
      </c>
      <c r="AB66" s="852">
        <f t="shared" si="136"/>
        <v>0</v>
      </c>
      <c r="AC66" s="852">
        <f t="shared" si="136"/>
        <v>0</v>
      </c>
      <c r="AD66" s="852">
        <f t="shared" si="136"/>
        <v>0</v>
      </c>
      <c r="AE66" s="852">
        <f t="shared" si="136"/>
        <v>0</v>
      </c>
      <c r="AF66" s="852">
        <f t="shared" si="136"/>
        <v>0</v>
      </c>
      <c r="AG66" s="852">
        <f t="shared" si="136"/>
        <v>0</v>
      </c>
      <c r="AH66" s="852">
        <f t="shared" si="136"/>
        <v>0</v>
      </c>
      <c r="AI66" s="852">
        <f t="shared" si="136"/>
        <v>0</v>
      </c>
      <c r="AJ66" s="852">
        <f t="shared" si="136"/>
        <v>0</v>
      </c>
      <c r="AK66" s="852">
        <f t="shared" si="136"/>
        <v>0</v>
      </c>
      <c r="AL66" s="852">
        <f t="shared" si="136"/>
        <v>0</v>
      </c>
      <c r="AM66" s="852">
        <f t="shared" si="136"/>
        <v>0</v>
      </c>
      <c r="AN66" s="852">
        <f t="shared" si="136"/>
        <v>0</v>
      </c>
      <c r="AO66" s="852">
        <f t="shared" si="136"/>
        <v>0</v>
      </c>
      <c r="AP66" s="852">
        <f t="shared" si="136"/>
        <v>0</v>
      </c>
      <c r="AQ66" s="852">
        <f t="shared" si="136"/>
        <v>0</v>
      </c>
      <c r="AR66" s="852">
        <f t="shared" si="136"/>
        <v>0</v>
      </c>
      <c r="AS66" s="852">
        <f t="shared" si="136"/>
        <v>0</v>
      </c>
      <c r="AT66" s="852">
        <f t="shared" si="136"/>
        <v>0</v>
      </c>
      <c r="AU66" s="852">
        <f t="shared" si="136"/>
        <v>0</v>
      </c>
      <c r="AV66" s="852">
        <f t="shared" si="136"/>
        <v>0</v>
      </c>
      <c r="AW66" s="852">
        <f t="shared" si="136"/>
        <v>0</v>
      </c>
      <c r="AX66" s="852">
        <f t="shared" si="136"/>
        <v>0</v>
      </c>
      <c r="AY66" s="852">
        <f t="shared" si="136"/>
        <v>0</v>
      </c>
      <c r="AZ66" s="852">
        <f t="shared" si="136"/>
        <v>0</v>
      </c>
      <c r="BA66" s="852">
        <f t="shared" si="137" ref="BA66:BE66">ROUND(INDEX(SP_GF_NI,0,COLUMN())-INDEX(MO_RIS_NI_GAAP_Basic,0,COLUMN()),6)</f>
        <v>0</v>
      </c>
      <c r="BB66" s="852">
        <f t="shared" si="137"/>
        <v>0</v>
      </c>
      <c r="BC66" s="852">
        <f>ROUND(INDEX(SP_GF_NI,0,COLUMN())-INDEX(MO_RIS_NI_GAAP_Basic,0,COLUMN()),6)</f>
        <v>0</v>
      </c>
      <c r="BD66" s="852">
        <f t="shared" si="137"/>
        <v>0</v>
      </c>
      <c r="BE66" s="852">
        <f t="shared" si="137"/>
        <v>0</v>
      </c>
      <c r="BF66" s="852">
        <f t="shared" si="138" ref="BF66:BJ66">ROUND(INDEX(SP_GF_NI,0,COLUMN())-INDEX(MO_RIS_NI_GAAP_Basic,0,COLUMN()),6)</f>
        <v>0</v>
      </c>
      <c r="BG66" s="852">
        <f t="shared" si="138"/>
        <v>0</v>
      </c>
      <c r="BH66" s="853">
        <f>ROUND(INDEX(SP_GF_NI,0,COLUMN())-INDEX(MO_RIS_NI_GAAP_Basic,0,COLUMN()),6)</f>
        <v>0</v>
      </c>
      <c r="BI66" s="852">
        <f t="shared" si="138"/>
        <v>0</v>
      </c>
      <c r="BJ66" s="852">
        <f t="shared" si="138"/>
        <v>0</v>
      </c>
      <c r="BK66" s="852">
        <f t="shared" si="139" ref="BK66:BR66">ROUND(INDEX(SP_GF_NI,0,COLUMN())-INDEX(MO_RIS_NI_GAAP_Basic,0,COLUMN()),6)</f>
        <v>0</v>
      </c>
      <c r="BL66" s="852">
        <f t="shared" si="139"/>
        <v>0</v>
      </c>
      <c r="BM66" s="852">
        <f t="shared" si="139"/>
        <v>0</v>
      </c>
      <c r="BN66" s="852">
        <f t="shared" si="139"/>
        <v>0</v>
      </c>
      <c r="BO66" s="852">
        <f t="shared" si="139"/>
        <v>0</v>
      </c>
      <c r="BP66" s="852">
        <f t="shared" si="139"/>
        <v>0</v>
      </c>
      <c r="BQ66" s="852">
        <f t="shared" si="139"/>
        <v>0</v>
      </c>
      <c r="BR66" s="852">
        <f t="shared" si="139"/>
        <v>0</v>
      </c>
      <c r="BS66" s="209"/>
    </row>
    <row r="67" spans="1:71" ht="15" collapsed="1">
      <c r="A67" s="209"/>
      <c r="B67" s="209"/>
      <c r="C67" s="260"/>
      <c r="D67" s="260"/>
      <c r="E67" s="260"/>
      <c r="F67" s="260"/>
      <c r="G67" s="260"/>
      <c r="H67" s="209"/>
      <c r="I67" s="209"/>
      <c r="J67" s="209"/>
      <c r="K67" s="209"/>
      <c r="L67" s="260"/>
      <c r="M67" s="209"/>
      <c r="N67" s="209"/>
      <c r="O67" s="209"/>
      <c r="P67" s="209"/>
      <c r="Q67" s="260"/>
      <c r="R67" s="209"/>
      <c r="S67" s="209"/>
      <c r="T67" s="209"/>
      <c r="U67" s="209"/>
      <c r="V67" s="260"/>
      <c r="W67" s="209"/>
      <c r="X67" s="209"/>
      <c r="Y67" s="209"/>
      <c r="Z67" s="209"/>
      <c r="AA67" s="260"/>
      <c r="AB67" s="209"/>
      <c r="AC67" s="209"/>
      <c r="AD67" s="209"/>
      <c r="AE67" s="209"/>
      <c r="AF67" s="260"/>
      <c r="AG67" s="209"/>
      <c r="AH67" s="209"/>
      <c r="AI67" s="209"/>
      <c r="AJ67" s="209"/>
      <c r="AK67" s="260"/>
      <c r="AL67" s="209"/>
      <c r="AM67" s="209"/>
      <c r="AN67" s="209"/>
      <c r="AO67" s="209"/>
      <c r="AP67" s="260"/>
      <c r="AQ67" s="209"/>
      <c r="AR67" s="209"/>
      <c r="AS67" s="209"/>
      <c r="AT67" s="209"/>
      <c r="AU67" s="260"/>
      <c r="AV67" s="209"/>
      <c r="AW67" s="209"/>
      <c r="AX67" s="209"/>
      <c r="AY67" s="209"/>
      <c r="AZ67" s="260"/>
      <c r="BA67" s="209"/>
      <c r="BB67" s="209"/>
      <c r="BC67" s="209"/>
      <c r="BD67" s="209"/>
      <c r="BE67" s="260"/>
      <c r="BF67" s="209"/>
      <c r="BG67" s="209"/>
      <c r="BH67" s="785"/>
      <c r="BI67" s="209"/>
      <c r="BJ67" s="260"/>
      <c r="BK67" s="209"/>
      <c r="BL67" s="209"/>
      <c r="BM67" s="209"/>
      <c r="BN67" s="209"/>
      <c r="BO67" s="260"/>
      <c r="BP67" s="260"/>
      <c r="BQ67" s="260"/>
      <c r="BR67" s="260"/>
      <c r="BS67" s="209"/>
    </row>
    <row r="68" spans="1:71" ht="15">
      <c r="A68" s="449" t="s">
        <v>518</v>
      </c>
      <c r="B68" s="133"/>
      <c r="C68" s="133"/>
      <c r="D68" s="133"/>
      <c r="E68" s="133"/>
      <c r="F68" s="133"/>
      <c r="G68" s="133"/>
      <c r="H68" s="133"/>
      <c r="I68" s="133"/>
      <c r="J68" s="133"/>
      <c r="K68" s="133"/>
      <c r="L68" s="133"/>
      <c r="M68" s="133"/>
      <c r="N68" s="133"/>
      <c r="O68" s="133"/>
      <c r="P68" s="133"/>
      <c r="Q68" s="133"/>
      <c r="R68" s="133"/>
      <c r="S68" s="133"/>
      <c r="T68" s="133"/>
      <c r="U68" s="133"/>
      <c r="V68" s="133"/>
      <c r="W68" s="133"/>
      <c r="X68" s="133"/>
      <c r="Y68" s="133"/>
      <c r="Z68" s="133"/>
      <c r="AA68" s="133"/>
      <c r="AB68" s="133"/>
      <c r="AC68" s="133"/>
      <c r="AD68" s="133"/>
      <c r="AE68" s="133"/>
      <c r="AF68" s="133"/>
      <c r="AG68" s="133"/>
      <c r="AH68" s="133"/>
      <c r="AI68" s="133"/>
      <c r="AJ68" s="133"/>
      <c r="AK68" s="133"/>
      <c r="AL68" s="133"/>
      <c r="AM68" s="133"/>
      <c r="AN68" s="133"/>
      <c r="AO68" s="133"/>
      <c r="AP68" s="133"/>
      <c r="AQ68" s="133"/>
      <c r="AR68" s="133"/>
      <c r="AS68" s="133"/>
      <c r="AT68" s="133"/>
      <c r="AU68" s="133"/>
      <c r="AV68" s="133"/>
      <c r="AW68" s="133"/>
      <c r="AX68" s="133"/>
      <c r="AY68" s="133"/>
      <c r="AZ68" s="133"/>
      <c r="BA68" s="133"/>
      <c r="BB68" s="133"/>
      <c r="BC68" s="133"/>
      <c r="BD68" s="133"/>
      <c r="BE68" s="133"/>
      <c r="BF68" s="133"/>
      <c r="BG68" s="133"/>
      <c r="BH68" s="133"/>
      <c r="BI68" s="133"/>
      <c r="BJ68" s="133"/>
      <c r="BK68" s="133"/>
      <c r="BL68" s="133"/>
      <c r="BM68" s="133"/>
      <c r="BN68" s="133"/>
      <c r="BO68" s="133"/>
      <c r="BP68" s="133"/>
      <c r="BQ68" s="133"/>
      <c r="BR68" s="133"/>
      <c r="BS68" s="209"/>
    </row>
    <row r="69" spans="1:71" ht="15" collapsed="1">
      <c r="A69" s="448"/>
      <c r="B69" s="209"/>
      <c r="C69" s="209"/>
      <c r="D69" s="209"/>
      <c r="E69" s="209"/>
      <c r="F69" s="209"/>
      <c r="G69" s="209"/>
      <c r="H69" s="209"/>
      <c r="I69" s="209"/>
      <c r="J69" s="209"/>
      <c r="K69" s="209"/>
      <c r="L69" s="209"/>
      <c r="M69" s="209"/>
      <c r="N69" s="209"/>
      <c r="O69" s="209"/>
      <c r="P69" s="209"/>
      <c r="Q69" s="209"/>
      <c r="R69" s="209"/>
      <c r="S69" s="209"/>
      <c r="T69" s="209"/>
      <c r="U69" s="209"/>
      <c r="V69" s="209"/>
      <c r="W69" s="209"/>
      <c r="X69" s="209"/>
      <c r="Y69" s="209"/>
      <c r="Z69" s="209"/>
      <c r="AA69" s="209"/>
      <c r="AB69" s="209"/>
      <c r="AC69" s="209"/>
      <c r="AD69" s="209"/>
      <c r="AE69" s="209"/>
      <c r="AF69" s="209"/>
      <c r="AG69" s="209"/>
      <c r="AH69" s="209"/>
      <c r="AI69" s="209"/>
      <c r="AJ69" s="209"/>
      <c r="AK69" s="209"/>
      <c r="AL69" s="209"/>
      <c r="AM69" s="209"/>
      <c r="AN69" s="209"/>
      <c r="AO69" s="209"/>
      <c r="AP69" s="209"/>
      <c r="AQ69" s="209"/>
      <c r="AR69" s="209"/>
      <c r="AS69" s="209"/>
      <c r="AT69" s="209"/>
      <c r="AU69" s="209"/>
      <c r="AV69" s="209"/>
      <c r="AW69" s="209"/>
      <c r="AX69" s="209"/>
      <c r="AY69" s="209"/>
      <c r="AZ69" s="209"/>
      <c r="BA69" s="209"/>
      <c r="BB69" s="209"/>
      <c r="BC69" s="209"/>
      <c r="BD69" s="209"/>
      <c r="BE69" s="209"/>
      <c r="BF69" s="209"/>
      <c r="BG69" s="209"/>
      <c r="BH69" s="209"/>
      <c r="BI69" s="209"/>
      <c r="BJ69" s="209"/>
      <c r="BK69" s="209"/>
      <c r="BL69" s="209"/>
      <c r="BM69" s="209"/>
      <c r="BN69" s="209"/>
      <c r="BO69" s="209"/>
      <c r="BP69" s="209"/>
      <c r="BQ69" s="209"/>
      <c r="BR69" s="209"/>
      <c r="BS69" s="209"/>
    </row>
  </sheetData>
  <conditionalFormatting sqref="C66:BR66">
    <cfRule type="cellIs" priority="150" dxfId="9" operator="equal">
      <formula>0</formula>
    </cfRule>
  </conditionalFormatting>
  <conditionalFormatting sqref="C66:BR66">
    <cfRule type="cellIs" priority="149" dxfId="8" operator="notEqual">
      <formula>0</formula>
    </cfRule>
  </conditionalFormatting>
  <dataValidations count="1">
    <dataValidation type="list" allowBlank="1" showInputMessage="1" showErrorMessage="1" sqref="B4">
      <formula1>OFFSET(tb_ValuationToggle,1,0,4,1)</formula1>
    </dataValidation>
  </dataValidations>
  <pageMargins left="0.7" right="0.7" top="0.75" bottom="0.75" header="0.3" footer="0.3"/>
  <pageSetup orientation="portrait" paperSize="1" scale="3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D6D95BAF-E2AE-4D7D-BA09-6078C790E41A}">
  <sheetPr codeName="Sheet41"/>
  <dimension ref="A1:J81"/>
  <sheetViews>
    <sheetView showGridLines="0" workbookViewId="0" topLeftCell="A1"/>
  </sheetViews>
  <sheetFormatPr defaultColWidth="9.284285714285714" defaultRowHeight="15"/>
  <cols>
    <col min="1" max="1" width="4.428571428571429" style="15" customWidth="1"/>
    <col min="2" max="2" width="9.714285714285714" style="15" customWidth="1"/>
    <col min="3" max="3" width="15.714285714285714" style="15" customWidth="1"/>
    <col min="4" max="4" width="20.714285714285715" style="15" customWidth="1"/>
    <col min="5" max="5" width="30.714285714285715" style="15" customWidth="1"/>
    <col min="6" max="6" width="20.714285714285715" style="15"/>
    <col min="7" max="7" width="23.714285714285715" style="15" customWidth="1"/>
    <col min="8" max="8" width="45.714285714285715" style="15" customWidth="1"/>
    <col min="9" max="9" width="7.714285714285714" style="15" customWidth="1"/>
    <col min="10" max="11" width="9.285714285714286" style="15" customWidth="1"/>
    <col min="12" max="16384" width="9.285714285714286" style="15"/>
  </cols>
  <sheetData>
    <row r="1" spans="1:10" ht="15">
      <c r="A1" s="681"/>
      <c r="B1" s="681"/>
      <c r="C1" s="681"/>
      <c r="D1" s="681"/>
      <c r="E1" s="681"/>
      <c r="F1" s="681"/>
      <c r="G1" s="681"/>
      <c r="H1" s="681"/>
      <c r="I1" s="681"/>
      <c r="J1" s="681"/>
    </row>
    <row r="2" spans="1:10" ht="15">
      <c r="A2" s="681"/>
      <c r="B2" s="681"/>
      <c r="C2" s="681"/>
      <c r="D2" s="681"/>
      <c r="E2" s="681"/>
      <c r="F2" s="681"/>
      <c r="G2" s="681"/>
      <c r="H2" s="681"/>
      <c r="I2" s="681"/>
      <c r="J2" s="681"/>
    </row>
    <row r="3" spans="1:10" ht="15">
      <c r="A3" s="681"/>
      <c r="B3" s="681"/>
      <c r="C3" s="681"/>
      <c r="D3" s="681"/>
      <c r="E3" s="681"/>
      <c r="F3" s="681"/>
      <c r="G3" s="681"/>
      <c r="H3" s="681"/>
      <c r="I3" s="681"/>
      <c r="J3" s="681"/>
    </row>
    <row r="4" spans="1:10" ht="15">
      <c r="A4" s="681"/>
      <c r="B4" s="681"/>
      <c r="C4" s="681"/>
      <c r="D4" s="681"/>
      <c r="E4" s="681"/>
      <c r="F4" s="681"/>
      <c r="G4" s="681"/>
      <c r="H4" s="681"/>
      <c r="I4" s="681"/>
      <c r="J4" s="681"/>
    </row>
    <row r="5" spans="1:10" ht="15">
      <c r="A5" s="681"/>
      <c r="B5" s="681"/>
      <c r="C5" s="681"/>
      <c r="D5" s="681"/>
      <c r="E5" s="681"/>
      <c r="F5" s="681"/>
      <c r="G5" s="681"/>
      <c r="H5" s="681"/>
      <c r="I5" s="681"/>
      <c r="J5" s="681"/>
    </row>
    <row r="6" spans="1:10" ht="15">
      <c r="A6" s="681"/>
      <c r="B6" s="681"/>
      <c r="C6" s="681"/>
      <c r="D6" s="681"/>
      <c r="E6" s="681"/>
      <c r="F6" s="681"/>
      <c r="G6" s="681"/>
      <c r="H6" s="681"/>
      <c r="I6" s="681"/>
      <c r="J6" s="681"/>
    </row>
    <row r="7" spans="1:10" ht="18.75">
      <c r="A7" s="681"/>
      <c r="B7" s="681"/>
      <c r="C7" s="681"/>
      <c r="D7" s="681"/>
      <c r="E7" s="696">
        <f>MO.MRFPColumnNumber</f>
        <v>60</v>
      </c>
      <c r="F7" s="687" t="str">
        <f>MO.MRFP</f>
        <v>Q3-2024</v>
      </c>
      <c r="G7" s="687"/>
      <c r="H7" s="697" t="str">
        <f>AA.CSIN</f>
        <v>BFIGLN0159</v>
      </c>
      <c r="I7" s="683"/>
      <c r="J7" s="682"/>
    </row>
    <row r="8" spans="1:10" ht="15">
      <c r="A8" s="681"/>
      <c r="B8" s="681"/>
      <c r="C8" s="681"/>
      <c r="D8" s="681"/>
      <c r="E8" s="681"/>
      <c r="F8" s="681"/>
      <c r="G8" s="681"/>
      <c r="H8" s="698" t="str">
        <f>+AA.ModelVersion</f>
        <v>Q3-2024.21</v>
      </c>
      <c r="I8" s="681"/>
      <c r="J8" s="681"/>
    </row>
    <row r="9" spans="1:10" ht="15">
      <c r="A9" s="681"/>
      <c r="B9" s="681"/>
      <c r="C9" s="681"/>
      <c r="D9" s="681"/>
      <c r="E9" s="681"/>
      <c r="F9" s="681"/>
      <c r="G9" s="681"/>
      <c r="H9" s="681"/>
      <c r="I9" s="681"/>
      <c r="J9" s="681"/>
    </row>
    <row r="10" spans="1:10" ht="15">
      <c r="A10" s="681"/>
      <c r="B10" s="681"/>
      <c r="C10" s="723" t="s">
        <v>261</v>
      </c>
      <c r="D10" s="723" t="s">
        <v>262</v>
      </c>
      <c r="E10" s="723" t="s">
        <v>263</v>
      </c>
      <c r="F10" s="723" t="s">
        <v>298</v>
      </c>
      <c r="G10" s="723" t="s">
        <v>264</v>
      </c>
      <c r="H10" s="724" t="s">
        <v>265</v>
      </c>
      <c r="I10" s="681"/>
      <c r="J10" s="681"/>
    </row>
    <row r="11" spans="1:10" s="17" customFormat="1" ht="15">
      <c r="A11" s="681"/>
      <c r="B11" s="681"/>
      <c r="C11" s="699">
        <v>45601</v>
      </c>
      <c r="D11" s="700" t="s">
        <v>456</v>
      </c>
      <c r="E11" s="701" t="s">
        <v>299</v>
      </c>
      <c r="F11" s="701" t="s">
        <v>521</v>
      </c>
      <c r="G11" s="702"/>
      <c r="H11" s="354" t="s">
        <v>267</v>
      </c>
      <c r="I11" s="681"/>
      <c r="J11" s="681"/>
    </row>
    <row r="12" spans="1:10" s="17" customFormat="1" ht="15">
      <c r="A12" s="681"/>
      <c r="B12" s="681"/>
      <c r="C12" s="699">
        <v>45506</v>
      </c>
      <c r="D12" s="700" t="s">
        <v>520</v>
      </c>
      <c r="E12" s="701" t="s">
        <v>299</v>
      </c>
      <c r="F12" s="701" t="s">
        <v>519</v>
      </c>
      <c r="G12" s="702"/>
      <c r="H12" s="357" t="s">
        <v>267</v>
      </c>
      <c r="I12" s="681"/>
      <c r="J12" s="681"/>
    </row>
    <row r="13" spans="1:10" s="17" customFormat="1" ht="15">
      <c r="A13" s="681"/>
      <c r="B13" s="681"/>
      <c r="C13" s="699">
        <v>45504</v>
      </c>
      <c r="D13" s="700" t="s">
        <v>520</v>
      </c>
      <c r="E13" s="701" t="s">
        <v>307</v>
      </c>
      <c r="F13" s="701" t="s">
        <v>519</v>
      </c>
      <c r="G13" s="702"/>
      <c r="H13" s="357" t="s">
        <v>267</v>
      </c>
      <c r="I13" s="681"/>
      <c r="J13" s="681"/>
    </row>
    <row r="14" spans="1:10" s="17" customFormat="1" ht="15">
      <c r="A14" s="681"/>
      <c r="B14" s="681"/>
      <c r="C14" s="699">
        <v>45419</v>
      </c>
      <c r="D14" s="700" t="s">
        <v>456</v>
      </c>
      <c r="E14" s="701" t="s">
        <v>299</v>
      </c>
      <c r="F14" s="701" t="s">
        <v>515</v>
      </c>
      <c r="G14" s="702"/>
      <c r="H14" s="357" t="s">
        <v>267</v>
      </c>
      <c r="I14" s="681"/>
      <c r="J14" s="681"/>
    </row>
    <row r="15" spans="1:10" s="17" customFormat="1" ht="15">
      <c r="A15" s="681"/>
      <c r="B15" s="681"/>
      <c r="C15" s="699">
        <v>45413</v>
      </c>
      <c r="D15" s="700" t="s">
        <v>456</v>
      </c>
      <c r="E15" s="701" t="s">
        <v>307</v>
      </c>
      <c r="F15" s="701" t="s">
        <v>515</v>
      </c>
      <c r="G15" s="702"/>
      <c r="H15" s="357" t="s">
        <v>267</v>
      </c>
      <c r="I15" s="681"/>
      <c r="J15" s="681"/>
    </row>
    <row r="16" spans="1:10" s="17" customFormat="1" ht="15">
      <c r="A16" s="681"/>
      <c r="B16" s="681"/>
      <c r="C16" s="699">
        <v>45348</v>
      </c>
      <c r="D16" s="700" t="s">
        <v>500</v>
      </c>
      <c r="E16" s="701" t="s">
        <v>300</v>
      </c>
      <c r="F16" s="701" t="s">
        <v>498</v>
      </c>
      <c r="G16" s="702"/>
      <c r="H16" s="357" t="s">
        <v>267</v>
      </c>
      <c r="I16" s="681"/>
      <c r="J16" s="681"/>
    </row>
    <row r="17" spans="1:10" s="17" customFormat="1" ht="15">
      <c r="A17" s="681"/>
      <c r="B17" s="681"/>
      <c r="C17" s="699">
        <v>45327</v>
      </c>
      <c r="D17" s="700" t="s">
        <v>499</v>
      </c>
      <c r="E17" s="701" t="s">
        <v>307</v>
      </c>
      <c r="F17" s="701" t="s">
        <v>498</v>
      </c>
      <c r="G17" s="702"/>
      <c r="H17" s="357" t="s">
        <v>267</v>
      </c>
      <c r="I17" s="681"/>
      <c r="J17" s="681"/>
    </row>
    <row r="18" spans="1:10" s="17" customFormat="1" ht="15">
      <c r="A18" s="681"/>
      <c r="B18" s="681"/>
      <c r="C18" s="699">
        <v>45232</v>
      </c>
      <c r="D18" s="700" t="s">
        <v>461</v>
      </c>
      <c r="E18" s="701" t="s">
        <v>299</v>
      </c>
      <c r="F18" s="701" t="s">
        <v>460</v>
      </c>
      <c r="G18" s="702"/>
      <c r="H18" s="357" t="s">
        <v>267</v>
      </c>
      <c r="I18" s="681"/>
      <c r="J18" s="681"/>
    </row>
    <row r="19" spans="1:10" s="17" customFormat="1" ht="15">
      <c r="A19" s="681"/>
      <c r="B19" s="681"/>
      <c r="C19" s="699">
        <v>45140</v>
      </c>
      <c r="D19" s="700" t="s">
        <v>456</v>
      </c>
      <c r="E19" s="701" t="s">
        <v>299</v>
      </c>
      <c r="F19" s="701" t="s">
        <v>459</v>
      </c>
      <c r="G19" s="702"/>
      <c r="H19" s="357" t="s">
        <v>267</v>
      </c>
      <c r="I19" s="681"/>
      <c r="J19" s="681"/>
    </row>
    <row r="20" spans="1:10" s="17" customFormat="1" ht="15">
      <c r="A20" s="681"/>
      <c r="B20" s="681"/>
      <c r="C20" s="699">
        <v>45139</v>
      </c>
      <c r="D20" s="700" t="s">
        <v>456</v>
      </c>
      <c r="E20" s="701" t="s">
        <v>307</v>
      </c>
      <c r="F20" s="701" t="s">
        <v>459</v>
      </c>
      <c r="G20" s="702"/>
      <c r="H20" s="357" t="s">
        <v>267</v>
      </c>
      <c r="I20" s="681"/>
      <c r="J20" s="681"/>
    </row>
    <row r="21" spans="1:10" s="17" customFormat="1" ht="15">
      <c r="A21" s="681"/>
      <c r="B21" s="681"/>
      <c r="C21" s="699">
        <v>45048</v>
      </c>
      <c r="D21" s="700" t="s">
        <v>456</v>
      </c>
      <c r="E21" s="701" t="s">
        <v>299</v>
      </c>
      <c r="F21" s="701" t="s">
        <v>455</v>
      </c>
      <c r="G21" s="702"/>
      <c r="H21" s="357" t="s">
        <v>267</v>
      </c>
      <c r="I21" s="681"/>
      <c r="J21" s="681"/>
    </row>
    <row r="22" spans="1:10" s="17" customFormat="1" ht="15">
      <c r="A22" s="681"/>
      <c r="B22" s="681"/>
      <c r="C22" s="699">
        <v>45042</v>
      </c>
      <c r="D22" s="700" t="s">
        <v>456</v>
      </c>
      <c r="E22" s="701" t="s">
        <v>307</v>
      </c>
      <c r="F22" s="701" t="s">
        <v>455</v>
      </c>
      <c r="G22" s="702"/>
      <c r="H22" s="357" t="s">
        <v>267</v>
      </c>
      <c r="I22" s="681"/>
      <c r="J22" s="681"/>
    </row>
    <row r="23" spans="1:10" s="17" customFormat="1" ht="15">
      <c r="A23" s="681"/>
      <c r="B23" s="681"/>
      <c r="C23" s="699">
        <v>44993</v>
      </c>
      <c r="D23" s="700" t="s">
        <v>436</v>
      </c>
      <c r="E23" s="701" t="s">
        <v>300</v>
      </c>
      <c r="F23" s="701" t="s">
        <v>435</v>
      </c>
      <c r="G23" s="702"/>
      <c r="H23" s="357" t="s">
        <v>267</v>
      </c>
      <c r="I23" s="681"/>
      <c r="J23" s="681"/>
    </row>
    <row r="24" spans="1:10" s="17" customFormat="1" ht="15">
      <c r="A24" s="681"/>
      <c r="B24" s="681"/>
      <c r="C24" s="699">
        <v>44958</v>
      </c>
      <c r="D24" s="700" t="s">
        <v>434</v>
      </c>
      <c r="E24" s="701" t="s">
        <v>307</v>
      </c>
      <c r="F24" s="701" t="s">
        <v>435</v>
      </c>
      <c r="G24" s="702"/>
      <c r="H24" s="703" t="s">
        <v>267</v>
      </c>
      <c r="I24" s="681"/>
      <c r="J24" s="681"/>
    </row>
    <row r="25" spans="1:10" s="17" customFormat="1" ht="15">
      <c r="A25" s="681"/>
      <c r="B25" s="681"/>
      <c r="C25" s="699">
        <v>44867</v>
      </c>
      <c r="D25" s="700" t="s">
        <v>434</v>
      </c>
      <c r="E25" s="701" t="s">
        <v>299</v>
      </c>
      <c r="F25" s="701" t="s">
        <v>433</v>
      </c>
      <c r="G25" s="702"/>
      <c r="H25" s="354" t="s">
        <v>267</v>
      </c>
      <c r="I25" s="681"/>
      <c r="J25" s="681"/>
    </row>
    <row r="26" spans="1:10" s="17" customFormat="1" ht="15">
      <c r="A26" s="681"/>
      <c r="B26" s="681"/>
      <c r="C26" s="699">
        <v>44865</v>
      </c>
      <c r="D26" s="700" t="s">
        <v>434</v>
      </c>
      <c r="E26" s="701" t="s">
        <v>307</v>
      </c>
      <c r="F26" s="701" t="s">
        <v>433</v>
      </c>
      <c r="G26" s="702"/>
      <c r="H26" s="354" t="s">
        <v>267</v>
      </c>
      <c r="I26" s="681"/>
      <c r="J26" s="681"/>
    </row>
    <row r="27" spans="1:10" s="17" customFormat="1" ht="15">
      <c r="A27" s="681"/>
      <c r="B27" s="681"/>
      <c r="C27" s="699">
        <v>44796</v>
      </c>
      <c r="D27" s="700" t="s">
        <v>431</v>
      </c>
      <c r="E27" s="701" t="s">
        <v>299</v>
      </c>
      <c r="F27" s="701" t="s">
        <v>430</v>
      </c>
      <c r="G27" s="702"/>
      <c r="H27" s="354" t="s">
        <v>267</v>
      </c>
      <c r="I27" s="681"/>
      <c r="J27" s="681"/>
    </row>
    <row r="28" spans="1:10" s="17" customFormat="1" ht="15">
      <c r="A28" s="681"/>
      <c r="B28" s="681"/>
      <c r="C28" s="699">
        <v>44774</v>
      </c>
      <c r="D28" s="700" t="s">
        <v>422</v>
      </c>
      <c r="E28" s="701" t="s">
        <v>307</v>
      </c>
      <c r="F28" s="701" t="s">
        <v>430</v>
      </c>
      <c r="G28" s="702"/>
      <c r="H28" s="357" t="s">
        <v>267</v>
      </c>
      <c r="I28" s="681"/>
      <c r="J28" s="681"/>
    </row>
    <row r="29" spans="1:10" s="17" customFormat="1" ht="15">
      <c r="A29" s="681"/>
      <c r="B29" s="681"/>
      <c r="C29" s="699">
        <v>44706</v>
      </c>
      <c r="D29" s="700" t="s">
        <v>425</v>
      </c>
      <c r="E29" s="701" t="s">
        <v>299</v>
      </c>
      <c r="F29" s="701" t="s">
        <v>423</v>
      </c>
      <c r="G29" s="702"/>
      <c r="H29" s="357" t="s">
        <v>267</v>
      </c>
      <c r="I29" s="681"/>
      <c r="J29" s="681"/>
    </row>
    <row r="30" spans="1:10" s="17" customFormat="1" ht="15">
      <c r="A30" s="681"/>
      <c r="B30" s="681"/>
      <c r="C30" s="699">
        <v>44678</v>
      </c>
      <c r="D30" s="700" t="s">
        <v>424</v>
      </c>
      <c r="E30" s="701" t="s">
        <v>307</v>
      </c>
      <c r="F30" s="701" t="s">
        <v>423</v>
      </c>
      <c r="G30" s="702"/>
      <c r="H30" s="357" t="s">
        <v>267</v>
      </c>
      <c r="I30" s="681"/>
      <c r="J30" s="681"/>
    </row>
    <row r="31" spans="1:10" s="17" customFormat="1" ht="15">
      <c r="A31" s="681"/>
      <c r="B31" s="681"/>
      <c r="C31" s="699">
        <v>44616</v>
      </c>
      <c r="D31" s="700" t="s">
        <v>417</v>
      </c>
      <c r="E31" s="701" t="s">
        <v>300</v>
      </c>
      <c r="F31" s="701" t="s">
        <v>421</v>
      </c>
      <c r="G31" s="702"/>
      <c r="H31" s="357" t="s">
        <v>267</v>
      </c>
      <c r="I31" s="681"/>
      <c r="J31" s="681"/>
    </row>
    <row r="32" spans="1:10" s="17" customFormat="1" ht="15">
      <c r="A32" s="681"/>
      <c r="B32" s="681"/>
      <c r="C32" s="699">
        <v>44594</v>
      </c>
      <c r="D32" s="700" t="s">
        <v>422</v>
      </c>
      <c r="E32" s="701" t="s">
        <v>307</v>
      </c>
      <c r="F32" s="701" t="s">
        <v>421</v>
      </c>
      <c r="G32" s="702"/>
      <c r="H32" s="357" t="s">
        <v>267</v>
      </c>
      <c r="I32" s="681"/>
      <c r="J32" s="681"/>
    </row>
    <row r="33" spans="1:10" s="17" customFormat="1" ht="15">
      <c r="A33" s="681"/>
      <c r="B33" s="681"/>
      <c r="C33" s="699">
        <v>44497</v>
      </c>
      <c r="D33" s="700" t="s">
        <v>412</v>
      </c>
      <c r="E33" s="701" t="s">
        <v>299</v>
      </c>
      <c r="F33" s="701" t="s">
        <v>420</v>
      </c>
      <c r="G33" s="702"/>
      <c r="H33" s="357" t="s">
        <v>267</v>
      </c>
      <c r="I33" s="681"/>
      <c r="J33" s="681"/>
    </row>
    <row r="34" spans="1:10" s="17" customFormat="1" ht="15">
      <c r="A34" s="681"/>
      <c r="B34" s="681"/>
      <c r="C34" s="699">
        <v>44496</v>
      </c>
      <c r="D34" s="700" t="s">
        <v>417</v>
      </c>
      <c r="E34" s="701" t="s">
        <v>307</v>
      </c>
      <c r="F34" s="701" t="s">
        <v>420</v>
      </c>
      <c r="G34" s="702"/>
      <c r="H34" s="357" t="s">
        <v>267</v>
      </c>
      <c r="I34" s="681"/>
      <c r="J34" s="681"/>
    </row>
    <row r="35" spans="1:10" s="17" customFormat="1" ht="15">
      <c r="A35" s="681"/>
      <c r="B35" s="681"/>
      <c r="C35" s="699">
        <v>44410</v>
      </c>
      <c r="D35" s="700" t="s">
        <v>303</v>
      </c>
      <c r="E35" s="701" t="s">
        <v>299</v>
      </c>
      <c r="F35" s="701" t="s">
        <v>419</v>
      </c>
      <c r="G35" s="702"/>
      <c r="H35" s="357" t="s">
        <v>267</v>
      </c>
      <c r="I35" s="681"/>
      <c r="J35" s="681"/>
    </row>
    <row r="36" spans="1:10" s="17" customFormat="1" ht="15">
      <c r="A36" s="681"/>
      <c r="B36" s="681"/>
      <c r="C36" s="699">
        <v>44405</v>
      </c>
      <c r="D36" s="700" t="s">
        <v>303</v>
      </c>
      <c r="E36" s="701" t="s">
        <v>307</v>
      </c>
      <c r="F36" s="701" t="s">
        <v>419</v>
      </c>
      <c r="G36" s="702"/>
      <c r="H36" s="357" t="s">
        <v>267</v>
      </c>
      <c r="I36" s="681"/>
      <c r="J36" s="681"/>
    </row>
    <row r="37" spans="1:10" s="17" customFormat="1" ht="15">
      <c r="A37" s="681"/>
      <c r="B37" s="681"/>
      <c r="C37" s="699">
        <v>44319</v>
      </c>
      <c r="D37" s="700" t="s">
        <v>417</v>
      </c>
      <c r="E37" s="701" t="s">
        <v>299</v>
      </c>
      <c r="F37" s="701" t="s">
        <v>416</v>
      </c>
      <c r="G37" s="702"/>
      <c r="H37" s="357" t="s">
        <v>267</v>
      </c>
      <c r="I37" s="681"/>
      <c r="J37" s="681"/>
    </row>
    <row r="38" spans="1:10" s="17" customFormat="1" ht="15">
      <c r="A38" s="681"/>
      <c r="B38" s="681"/>
      <c r="C38" s="699">
        <v>44314</v>
      </c>
      <c r="D38" s="700" t="s">
        <v>417</v>
      </c>
      <c r="E38" s="701" t="s">
        <v>307</v>
      </c>
      <c r="F38" s="701" t="s">
        <v>416</v>
      </c>
      <c r="G38" s="702"/>
      <c r="H38" s="357" t="s">
        <v>267</v>
      </c>
      <c r="I38" s="681"/>
      <c r="J38" s="681"/>
    </row>
    <row r="39" spans="1:10" s="17" customFormat="1" ht="15">
      <c r="A39" s="681"/>
      <c r="B39" s="681"/>
      <c r="C39" s="699">
        <v>44258</v>
      </c>
      <c r="D39" s="700" t="s">
        <v>412</v>
      </c>
      <c r="E39" s="701" t="s">
        <v>300</v>
      </c>
      <c r="F39" s="701" t="s">
        <v>302</v>
      </c>
      <c r="G39" s="702"/>
      <c r="H39" s="357" t="s">
        <v>267</v>
      </c>
      <c r="I39" s="681"/>
      <c r="J39" s="681"/>
    </row>
    <row r="40" spans="1:10" s="17" customFormat="1" ht="15">
      <c r="A40" s="681"/>
      <c r="B40" s="681"/>
      <c r="C40" s="699">
        <v>44230</v>
      </c>
      <c r="D40" s="700" t="s">
        <v>306</v>
      </c>
      <c r="E40" s="701" t="s">
        <v>307</v>
      </c>
      <c r="F40" s="701" t="s">
        <v>302</v>
      </c>
      <c r="G40" s="702"/>
      <c r="H40" s="357" t="s">
        <v>267</v>
      </c>
      <c r="I40" s="681"/>
      <c r="J40" s="681"/>
    </row>
    <row r="41" spans="1:10" s="17" customFormat="1" ht="15">
      <c r="A41" s="681"/>
      <c r="B41" s="681"/>
      <c r="C41" s="699">
        <v>44145</v>
      </c>
      <c r="D41" s="700" t="s">
        <v>306</v>
      </c>
      <c r="E41" s="701" t="s">
        <v>299</v>
      </c>
      <c r="F41" s="701" t="s">
        <v>411</v>
      </c>
      <c r="G41" s="702"/>
      <c r="H41" s="357" t="s">
        <v>267</v>
      </c>
      <c r="I41" s="681"/>
      <c r="J41" s="681"/>
    </row>
    <row r="42" spans="1:10" s="17" customFormat="1" ht="15">
      <c r="A42" s="681"/>
      <c r="B42" s="681"/>
      <c r="C42" s="699">
        <v>44131</v>
      </c>
      <c r="D42" s="700" t="s">
        <v>412</v>
      </c>
      <c r="E42" s="701" t="s">
        <v>307</v>
      </c>
      <c r="F42" s="701" t="s">
        <v>411</v>
      </c>
      <c r="G42" s="702"/>
      <c r="H42" s="357" t="s">
        <v>267</v>
      </c>
      <c r="I42" s="681"/>
      <c r="J42" s="681"/>
    </row>
    <row r="43" spans="1:10" s="17" customFormat="1" ht="15">
      <c r="A43" s="681"/>
      <c r="B43" s="681"/>
      <c r="C43" s="699">
        <v>44041</v>
      </c>
      <c r="D43" s="700" t="s">
        <v>306</v>
      </c>
      <c r="E43" s="701" t="s">
        <v>299</v>
      </c>
      <c r="F43" s="701" t="s">
        <v>410</v>
      </c>
      <c r="G43" s="702"/>
      <c r="H43" s="703" t="s">
        <v>267</v>
      </c>
      <c r="I43" s="681"/>
      <c r="J43" s="681"/>
    </row>
    <row r="44" spans="1:10" s="17" customFormat="1" ht="15">
      <c r="A44" s="681"/>
      <c r="B44" s="681"/>
      <c r="C44" s="699">
        <v>44040</v>
      </c>
      <c r="D44" s="700" t="s">
        <v>306</v>
      </c>
      <c r="E44" s="701" t="s">
        <v>307</v>
      </c>
      <c r="F44" s="701" t="s">
        <v>410</v>
      </c>
      <c r="G44" s="702"/>
      <c r="H44" s="703" t="s">
        <v>267</v>
      </c>
      <c r="I44" s="681"/>
      <c r="J44" s="681"/>
    </row>
    <row r="45" spans="1:10" s="17" customFormat="1" ht="15">
      <c r="A45" s="681"/>
      <c r="B45" s="681"/>
      <c r="C45" s="699">
        <v>43951</v>
      </c>
      <c r="D45" s="700" t="s">
        <v>306</v>
      </c>
      <c r="E45" s="701" t="s">
        <v>299</v>
      </c>
      <c r="F45" s="701" t="s">
        <v>305</v>
      </c>
      <c r="G45" s="702"/>
      <c r="H45" s="354" t="s">
        <v>267</v>
      </c>
      <c r="I45" s="681"/>
      <c r="J45" s="681"/>
    </row>
    <row r="46" spans="1:10" s="17" customFormat="1" ht="15">
      <c r="A46" s="681"/>
      <c r="B46" s="681"/>
      <c r="C46" s="699">
        <v>43950</v>
      </c>
      <c r="D46" s="700" t="s">
        <v>306</v>
      </c>
      <c r="E46" s="701" t="s">
        <v>307</v>
      </c>
      <c r="F46" s="701" t="s">
        <v>305</v>
      </c>
      <c r="G46" s="702"/>
      <c r="H46" s="354" t="s">
        <v>267</v>
      </c>
      <c r="I46" s="681"/>
      <c r="J46" s="681"/>
    </row>
    <row r="47" spans="1:10" s="17" customFormat="1" ht="15">
      <c r="A47" s="681"/>
      <c r="B47" s="681"/>
      <c r="C47" s="699">
        <v>43885</v>
      </c>
      <c r="D47" s="700" t="s">
        <v>303</v>
      </c>
      <c r="E47" s="701" t="s">
        <v>300</v>
      </c>
      <c r="F47" s="701" t="s">
        <v>288</v>
      </c>
      <c r="G47" s="702"/>
      <c r="H47" s="357" t="s">
        <v>267</v>
      </c>
      <c r="I47" s="681"/>
      <c r="J47" s="681"/>
    </row>
    <row r="48" spans="1:10" s="17" customFormat="1" ht="15">
      <c r="A48" s="681"/>
      <c r="B48" s="681"/>
      <c r="C48" s="699">
        <v>43763</v>
      </c>
      <c r="D48" s="700" t="s">
        <v>296</v>
      </c>
      <c r="E48" s="701" t="s">
        <v>299</v>
      </c>
      <c r="F48" s="701" t="s">
        <v>293</v>
      </c>
      <c r="G48" s="702"/>
      <c r="H48" s="704" t="s">
        <v>267</v>
      </c>
      <c r="I48" s="681"/>
      <c r="J48" s="681"/>
    </row>
    <row r="49" spans="1:10" s="17" customFormat="1" ht="15">
      <c r="A49" s="681"/>
      <c r="B49" s="681"/>
      <c r="C49" s="699">
        <v>43672</v>
      </c>
      <c r="D49" s="700" t="s">
        <v>290</v>
      </c>
      <c r="E49" s="701" t="s">
        <v>299</v>
      </c>
      <c r="F49" s="701" t="s">
        <v>291</v>
      </c>
      <c r="G49" s="702"/>
      <c r="H49" s="705" t="s">
        <v>267</v>
      </c>
      <c r="I49" s="681"/>
      <c r="J49" s="681"/>
    </row>
    <row r="50" spans="1:10" s="17" customFormat="1" ht="15">
      <c r="A50" s="681"/>
      <c r="B50" s="681"/>
      <c r="C50" s="706">
        <v>43584</v>
      </c>
      <c r="D50" s="707" t="s">
        <v>282</v>
      </c>
      <c r="E50" s="708" t="s">
        <v>299</v>
      </c>
      <c r="F50" s="708" t="s">
        <v>283</v>
      </c>
      <c r="G50" s="709"/>
      <c r="H50" s="710" t="s">
        <v>267</v>
      </c>
      <c r="I50" s="681"/>
      <c r="J50" s="681"/>
    </row>
    <row r="51" spans="1:10" s="17" customFormat="1" ht="15">
      <c r="A51" s="681"/>
      <c r="B51" s="681"/>
      <c r="C51" s="706">
        <v>43528</v>
      </c>
      <c r="D51" s="707" t="s">
        <v>266</v>
      </c>
      <c r="E51" s="708" t="s">
        <v>300</v>
      </c>
      <c r="F51" s="708" t="s">
        <v>243</v>
      </c>
      <c r="G51" s="709"/>
      <c r="H51" s="711" t="s">
        <v>267</v>
      </c>
      <c r="I51" s="681"/>
      <c r="J51" s="681"/>
    </row>
    <row r="52" spans="1:10" ht="15">
      <c r="A52" s="681"/>
      <c r="B52" s="681"/>
      <c r="C52" s="706">
        <v>43405</v>
      </c>
      <c r="D52" s="707" t="s">
        <v>268</v>
      </c>
      <c r="E52" s="708" t="s">
        <v>299</v>
      </c>
      <c r="F52" s="708" t="s">
        <v>269</v>
      </c>
      <c r="G52" s="709" t="s">
        <v>270</v>
      </c>
      <c r="H52" s="712" t="s">
        <v>267</v>
      </c>
      <c r="I52" s="681"/>
      <c r="J52" s="681"/>
    </row>
    <row r="53" spans="1:10" ht="15">
      <c r="A53" s="681"/>
      <c r="B53" s="681"/>
      <c r="C53" s="706">
        <v>43318</v>
      </c>
      <c r="D53" s="707" t="s">
        <v>271</v>
      </c>
      <c r="E53" s="708" t="s">
        <v>299</v>
      </c>
      <c r="F53" s="708" t="s">
        <v>272</v>
      </c>
      <c r="G53" s="709"/>
      <c r="H53" s="712" t="s">
        <v>267</v>
      </c>
      <c r="I53" s="681"/>
      <c r="J53" s="681"/>
    </row>
    <row r="54" spans="1:10" ht="15">
      <c r="A54" s="681"/>
      <c r="B54" s="681"/>
      <c r="C54" s="713">
        <v>43227</v>
      </c>
      <c r="D54" s="714" t="s">
        <v>273</v>
      </c>
      <c r="E54" s="715" t="s">
        <v>299</v>
      </c>
      <c r="F54" s="715" t="s">
        <v>274</v>
      </c>
      <c r="G54" s="716"/>
      <c r="H54" s="717" t="s">
        <v>267</v>
      </c>
      <c r="I54" s="681"/>
      <c r="J54" s="681"/>
    </row>
    <row r="55" spans="1:10" ht="15">
      <c r="A55" s="681"/>
      <c r="B55" s="681"/>
      <c r="C55" s="699">
        <v>43157</v>
      </c>
      <c r="D55" s="700" t="s">
        <v>275</v>
      </c>
      <c r="E55" s="701" t="s">
        <v>300</v>
      </c>
      <c r="F55" s="701" t="s">
        <v>276</v>
      </c>
      <c r="G55" s="702"/>
      <c r="H55" s="718" t="s">
        <v>267</v>
      </c>
      <c r="I55" s="681"/>
      <c r="J55" s="681"/>
    </row>
    <row r="56" spans="1:10" ht="15">
      <c r="A56" s="681"/>
      <c r="B56" s="681"/>
      <c r="C56" s="699">
        <v>43042</v>
      </c>
      <c r="D56" s="700" t="s">
        <v>275</v>
      </c>
      <c r="E56" s="701" t="s">
        <v>299</v>
      </c>
      <c r="F56" s="701" t="s">
        <v>277</v>
      </c>
      <c r="G56" s="702"/>
      <c r="H56" s="718" t="s">
        <v>267</v>
      </c>
      <c r="I56" s="681"/>
      <c r="J56" s="681"/>
    </row>
    <row r="57" spans="1:10" ht="15">
      <c r="A57" s="681"/>
      <c r="B57" s="681"/>
      <c r="C57" s="699">
        <v>42950</v>
      </c>
      <c r="D57" s="700" t="s">
        <v>278</v>
      </c>
      <c r="E57" s="701" t="s">
        <v>299</v>
      </c>
      <c r="F57" s="701" t="s">
        <v>279</v>
      </c>
      <c r="G57" s="702"/>
      <c r="H57" s="718" t="s">
        <v>267</v>
      </c>
      <c r="I57" s="681"/>
      <c r="J57" s="681"/>
    </row>
    <row r="58" spans="1:10" ht="15">
      <c r="A58" s="681"/>
      <c r="B58" s="681"/>
      <c r="C58" s="699">
        <v>42892</v>
      </c>
      <c r="D58" s="700" t="s">
        <v>280</v>
      </c>
      <c r="E58" s="701" t="s">
        <v>281</v>
      </c>
      <c r="F58" s="701" t="s">
        <v>301</v>
      </c>
      <c r="G58" s="702"/>
      <c r="H58" s="718"/>
      <c r="I58" s="681"/>
      <c r="J58" s="681"/>
    </row>
    <row r="59" spans="1:10" ht="15">
      <c r="A59" s="681"/>
      <c r="B59" s="681"/>
      <c r="C59" s="681"/>
      <c r="D59" s="681"/>
      <c r="E59" s="681"/>
      <c r="F59" s="681"/>
      <c r="G59" s="681"/>
      <c r="H59" s="681"/>
      <c r="I59" s="681"/>
      <c r="J59" s="681"/>
    </row>
    <row r="60" spans="1:10" ht="15">
      <c r="A60" s="681"/>
      <c r="B60" s="681"/>
      <c r="C60" s="681"/>
      <c r="D60" s="681"/>
      <c r="E60" s="681"/>
      <c r="F60" s="681"/>
      <c r="G60" s="681"/>
      <c r="H60" s="681"/>
      <c r="I60" s="681"/>
      <c r="J60" s="681"/>
    </row>
    <row r="61" spans="1:10" ht="15">
      <c r="A61" s="681"/>
      <c r="B61" s="681"/>
      <c r="C61" s="681"/>
      <c r="D61" s="681"/>
      <c r="E61" s="681"/>
      <c r="F61" s="681"/>
      <c r="G61" s="681"/>
      <c r="H61" s="681"/>
      <c r="I61" s="681"/>
      <c r="J61" s="681"/>
    </row>
    <row r="62" spans="1:10" ht="15">
      <c r="A62" s="681"/>
      <c r="B62" s="681"/>
      <c r="C62" s="681"/>
      <c r="D62" s="681"/>
      <c r="E62" s="681"/>
      <c r="F62" s="681"/>
      <c r="G62" s="681"/>
      <c r="H62" s="681"/>
      <c r="I62" s="681"/>
      <c r="J62" s="681"/>
    </row>
    <row r="63" spans="1:10" ht="15">
      <c r="A63" s="681"/>
      <c r="B63" s="681"/>
      <c r="C63" s="681"/>
      <c r="D63" s="681"/>
      <c r="E63" s="681"/>
      <c r="F63" s="681"/>
      <c r="G63" s="681"/>
      <c r="H63" s="681"/>
      <c r="I63" s="681"/>
      <c r="J63" s="681"/>
    </row>
    <row r="64" spans="1:10" ht="15">
      <c r="A64" s="681"/>
      <c r="B64" s="681"/>
      <c r="C64" s="681"/>
      <c r="D64" s="681"/>
      <c r="E64" s="681"/>
      <c r="F64" s="681"/>
      <c r="G64" s="681"/>
      <c r="H64" s="681"/>
      <c r="I64" s="681"/>
      <c r="J64" s="681"/>
    </row>
    <row r="65" spans="1:10" ht="15">
      <c r="A65" s="681"/>
      <c r="B65" s="681"/>
      <c r="C65" s="681"/>
      <c r="D65" s="681"/>
      <c r="E65" s="681"/>
      <c r="F65" s="681"/>
      <c r="G65" s="681"/>
      <c r="H65" s="681"/>
      <c r="I65" s="681"/>
      <c r="J65" s="681"/>
    </row>
    <row r="66" spans="1:10" ht="15">
      <c r="A66" s="681"/>
      <c r="B66" s="681"/>
      <c r="C66" s="681"/>
      <c r="D66" s="681"/>
      <c r="E66" s="681"/>
      <c r="F66" s="681"/>
      <c r="G66" s="681"/>
      <c r="H66" s="681"/>
      <c r="I66" s="681"/>
      <c r="J66" s="681"/>
    </row>
    <row r="67" spans="1:10" ht="15">
      <c r="A67" s="681"/>
      <c r="B67" s="681"/>
      <c r="C67" s="681"/>
      <c r="D67" s="681"/>
      <c r="E67" s="681"/>
      <c r="F67" s="681"/>
      <c r="G67" s="681"/>
      <c r="H67" s="681"/>
      <c r="I67" s="681"/>
      <c r="J67" s="681"/>
    </row>
    <row r="68" spans="1:10" ht="15">
      <c r="A68" s="681"/>
      <c r="B68" s="681"/>
      <c r="C68" s="681"/>
      <c r="D68" s="681"/>
      <c r="E68" s="681"/>
      <c r="F68" s="681"/>
      <c r="G68" s="681"/>
      <c r="H68" s="681"/>
      <c r="I68" s="681"/>
      <c r="J68" s="681"/>
    </row>
    <row r="69" spans="1:10" ht="15">
      <c r="A69" s="681"/>
      <c r="B69" s="681"/>
      <c r="C69" s="681"/>
      <c r="D69" s="681"/>
      <c r="E69" s="681"/>
      <c r="F69" s="681"/>
      <c r="G69" s="681"/>
      <c r="H69" s="681"/>
      <c r="I69" s="681"/>
      <c r="J69" s="681"/>
    </row>
    <row r="70" spans="1:10" ht="15">
      <c r="A70" s="681"/>
      <c r="B70" s="681"/>
      <c r="C70" s="681"/>
      <c r="D70" s="681"/>
      <c r="E70" s="681"/>
      <c r="F70" s="681"/>
      <c r="G70" s="681"/>
      <c r="H70" s="681"/>
      <c r="I70" s="681"/>
      <c r="J70" s="681"/>
    </row>
    <row r="71" spans="1:10" ht="15">
      <c r="A71" s="681"/>
      <c r="B71" s="681"/>
      <c r="C71" s="681"/>
      <c r="D71" s="681"/>
      <c r="E71" s="681"/>
      <c r="F71" s="681"/>
      <c r="G71" s="681"/>
      <c r="H71" s="681"/>
      <c r="I71" s="681"/>
      <c r="J71" s="681"/>
    </row>
    <row r="72" spans="1:10" ht="15">
      <c r="A72" s="681"/>
      <c r="B72" s="681"/>
      <c r="C72" s="681"/>
      <c r="D72" s="681"/>
      <c r="E72" s="681"/>
      <c r="F72" s="681"/>
      <c r="G72" s="681"/>
      <c r="H72" s="681"/>
      <c r="I72" s="681"/>
      <c r="J72" s="681"/>
    </row>
    <row r="73" spans="1:10" ht="15">
      <c r="A73" s="681"/>
      <c r="B73" s="681"/>
      <c r="C73" s="681"/>
      <c r="D73" s="681"/>
      <c r="E73" s="681"/>
      <c r="F73" s="681"/>
      <c r="G73" s="681"/>
      <c r="H73" s="681"/>
      <c r="I73" s="681"/>
      <c r="J73" s="681"/>
    </row>
    <row r="74" spans="1:10" ht="15">
      <c r="A74" s="681"/>
      <c r="B74" s="681"/>
      <c r="C74" s="681"/>
      <c r="D74" s="681"/>
      <c r="E74" s="681"/>
      <c r="F74" s="681"/>
      <c r="G74" s="681"/>
      <c r="H74" s="681"/>
      <c r="I74" s="681"/>
      <c r="J74" s="681"/>
    </row>
    <row r="75" spans="1:10" ht="15">
      <c r="A75" s="681"/>
      <c r="B75" s="681"/>
      <c r="C75" s="681"/>
      <c r="D75" s="681"/>
      <c r="E75" s="681"/>
      <c r="F75" s="681"/>
      <c r="G75" s="681"/>
      <c r="H75" s="681"/>
      <c r="I75" s="681"/>
      <c r="J75" s="681"/>
    </row>
    <row r="76" spans="1:10" ht="15">
      <c r="A76" s="681"/>
      <c r="B76" s="681"/>
      <c r="C76" s="681"/>
      <c r="D76" s="681"/>
      <c r="E76" s="681"/>
      <c r="F76" s="681"/>
      <c r="G76" s="681"/>
      <c r="H76" s="681"/>
      <c r="I76" s="681"/>
      <c r="J76" s="681"/>
    </row>
    <row r="77" spans="1:10" ht="15">
      <c r="A77" s="681"/>
      <c r="B77" s="681"/>
      <c r="C77" s="681"/>
      <c r="D77" s="681"/>
      <c r="E77" s="681"/>
      <c r="F77" s="681"/>
      <c r="G77" s="681"/>
      <c r="H77" s="681"/>
      <c r="I77" s="681"/>
      <c r="J77" s="681"/>
    </row>
    <row r="78" spans="1:10" ht="15">
      <c r="A78" s="681"/>
      <c r="B78" s="681"/>
      <c r="C78" s="681"/>
      <c r="D78" s="681"/>
      <c r="E78" s="681"/>
      <c r="F78" s="681"/>
      <c r="G78" s="681"/>
      <c r="H78" s="681"/>
      <c r="I78" s="681"/>
      <c r="J78" s="681"/>
    </row>
    <row r="79" spans="1:10" ht="15">
      <c r="A79" s="681"/>
      <c r="B79" s="681"/>
      <c r="C79" s="681"/>
      <c r="D79" s="681"/>
      <c r="E79" s="681"/>
      <c r="F79" s="681"/>
      <c r="G79" s="681"/>
      <c r="H79" s="681"/>
      <c r="I79" s="681"/>
      <c r="J79" s="681"/>
    </row>
    <row r="80" spans="1:10" ht="15">
      <c r="A80" s="681"/>
      <c r="B80" s="681"/>
      <c r="C80" s="681"/>
      <c r="D80" s="681"/>
      <c r="E80" s="681"/>
      <c r="F80" s="681"/>
      <c r="G80" s="681"/>
      <c r="H80" s="681"/>
      <c r="I80" s="681"/>
      <c r="J80" s="681"/>
    </row>
    <row r="81" spans="1:10" ht="15">
      <c r="A81" s="681"/>
      <c r="B81" s="681"/>
      <c r="C81" s="681"/>
      <c r="D81" s="681"/>
      <c r="E81" s="681"/>
      <c r="F81" s="681"/>
      <c r="G81" s="681"/>
      <c r="H81" s="681"/>
      <c r="I81" s="681"/>
      <c r="J81" s="681"/>
    </row>
  </sheetData>
  <hyperlinks>
    <hyperlink ref="H51" r:id="rId1" tooltip="Website Link" display="Earnings Press Release"/>
    <hyperlink ref="H52" r:id="rId2" tooltip="Website Link" display="Earnings Press Release"/>
    <hyperlink ref="H53" r:id="rId3" tooltip="Website Link" display="Earnings Press Release"/>
    <hyperlink ref="H54" r:id="rId4" tooltip="Website Link" display="Earnings Press Release"/>
    <hyperlink ref="H55" r:id="rId5" tooltip="Website Link" display="Earnings Press Release"/>
    <hyperlink ref="H56" r:id="rId6" tooltip="Website Link" display="Earnings Press Release"/>
    <hyperlink ref="H57" r:id="rId7" tooltip="Website Link" display="Earnings Press Release"/>
    <hyperlink ref="H59" r:id="rId8" tooltip="Website Link" display="http://investors.aflac.com/~/media/Files/A/Aflac-IR/financial-reporting/quaterly-reports/2017/2017-quarterly-report-second-quarter.pdf"/>
    <hyperlink ref="H50" r:id="rId9" tooltip="Website Link" display="Earnings Press Release"/>
    <hyperlink ref="H49" r:id="rId10" tooltip="Website Link" display="Earnings Press Release"/>
    <hyperlink ref="H48" r:id="rId11" tooltip="Website Link" display="Earnings Press Release"/>
    <hyperlink ref="H47" r:id="rId12" tooltip="Website Link" display="Earnings Press Release"/>
    <hyperlink ref="H46" r:id="rId13" tooltip="Website Link" display="Earnings Press Release"/>
    <hyperlink ref="H45" r:id="rId14" tooltip="Website Link" display="Earnings Press Release"/>
    <hyperlink ref="H44" r:id="rId15" tooltip="Website Link" display="Earnings Press Release"/>
    <hyperlink ref="H43" r:id="rId16" tooltip="Website Link" display="Earnings Press Release"/>
    <hyperlink ref="H42" r:id="rId17" tooltip="Website Link" display="Earnings Press Release"/>
    <hyperlink ref="H41" r:id="rId18" tooltip="Website Link" display="Earnings Press Release"/>
    <hyperlink ref="H40" r:id="rId19" tooltip="Website Link" display="Earnings Press Release"/>
    <hyperlink ref="H39" r:id="rId20" tooltip="Website Link" display="Earnings Press Release"/>
    <hyperlink ref="H38" r:id="rId21" tooltip="Website Link" display="Earnings Press Release"/>
    <hyperlink ref="H37" r:id="rId22" tooltip="Website Link" display="Earnings Press Release"/>
    <hyperlink ref="H36" r:id="rId23" tooltip="Website Link" display="Earnings Press Release"/>
    <hyperlink ref="H35" r:id="rId24" tooltip="Website Link" display="Earnings Press Release"/>
    <hyperlink ref="H34" r:id="rId25" tooltip="Website Link" display="Earnings Press Release"/>
    <hyperlink ref="H33" r:id="rId26" tooltip="Website Link" display="Earnings Press Release"/>
    <hyperlink ref="H32" r:id="rId27" tooltip="Website Link" display="Earnings Press Release"/>
    <hyperlink ref="H31" r:id="rId28" tooltip="Website Link" display="Earnings Press Release"/>
    <hyperlink ref="H30" r:id="rId29" tooltip="Website Link" display="Earnings Press Release"/>
    <hyperlink ref="H29" r:id="rId30" tooltip="Website Link" display="Earnings Press Release"/>
    <hyperlink ref="H28" r:id="rId31" tooltip="Website Link" display="Earnings Press Release"/>
    <hyperlink ref="H27" r:id="rId32" tooltip="Website Link" display="Earnings Press Release"/>
    <hyperlink ref="H25" r:id="rId33" tooltip="Website Link" display="Earnings Press Release"/>
    <hyperlink ref="H26" r:id="rId34" tooltip="Website Link" display="Earnings Press Release"/>
    <hyperlink ref="H24" r:id="rId35" tooltip="Website Link" display="Earnings Press Release"/>
    <hyperlink ref="H23" r:id="rId36" tooltip="Website Link" display="Earnings Press Release"/>
    <hyperlink ref="H22" r:id="rId37" tooltip="Website Link" display="Earnings Press Release"/>
    <hyperlink ref="H21" r:id="rId38" tooltip="Website Link" display="Earnings Press Release"/>
    <hyperlink ref="H20" r:id="rId39" tooltip="Website Link" display="Earnings Press Release"/>
    <hyperlink ref="H19" r:id="rId40" tooltip="Website Link" display="Earnings Press Release"/>
    <hyperlink ref="H18" r:id="rId41" tooltip="Website Link" display="Earnings Press Release"/>
    <hyperlink ref="H17" r:id="rId42" tooltip="Website Link" display="Earnings Press Release"/>
    <hyperlink ref="H16" r:id="rId43" tooltip="Website Link" display="Earnings Press Release"/>
    <hyperlink ref="H15" r:id="rId44" tooltip="Website Link" display="Earnings Press Release"/>
    <hyperlink ref="H14" r:id="rId45" tooltip="Website Link" display="Earnings Press Release"/>
    <hyperlink ref="H13" r:id="rId46" tooltip="Website Link" display="Earnings Press Release"/>
    <hyperlink ref="H12" r:id="rId47" tooltip="Website Link" display="Earnings Press Release"/>
    <hyperlink ref="H11" r:id="rId48" tooltip="Website Link" display="Earnings Press Release"/>
  </hyperlinks>
  <pageMargins left="0.7" right="0.7" top="0.75" bottom="0.75" header="0.3" footer="0.3"/>
  <pageSetup orientation="portrait" paperSize="1"/>
  <drawing r:id="rId49"/>
</worksheet>
</file>

<file path=customXml/_rels/item1.xml.rels><?xml version="1.0" encoding="UTF-8" standalone="yes"?><Relationships xmlns="http://schemas.openxmlformats.org/package/2006/relationships"><Relationship Id="rId1" Type="http://schemas.openxmlformats.org/officeDocument/2006/relationships/customXmlProps" Target="itemProps1.xml" /></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 /></Relationships>
</file>

<file path=customXml/item1.xml>��< ? x m l   v e r s i o n = " 1 . 0 "   e n c o d i n g = " u t f - 1 6 " ? > < C u s t o m X M L O b j e c t   x m l n s : x s d = " h t t p : / / w w w . w 3 . o r g / 2 0 0 1 / X M L S c h e m a "   x m l n s : x s i = " h t t p : / / w w w . w 3 . o r g / 2 0 0 1 / X M L S c h e m a - i n s t a n c e " >  
     < N a m e > C o m m u n i c a t i o n I d < / N a m e >  
     < V a l u e > f a c f c 8 0 3 - 8 f d b - 4 b 5 8 - a 8 2 7 - d 1 d f 4 8 d 2 1 c c b < / V a l u e >  
 < / C u s t o m X M L O b j e c t > 
</file>

<file path=customXml/item2.xml>��< ? x m l   v e r s i o n = " 1 . 0 "   e n c o d i n g = " u t f - 1 6 " ? > < C u s t o m X M L O b j e c t   x m l n s : x s i = " h t t p : / / w w w . w 3 . o r g / 2 0 0 1 / X M L S c h e m a - i n s t a n c e "   x m l n s : x s d = " h t t p : / / w w w . w 3 . o r g / 2 0 0 1 / X M L S c h e m a " >  
     < N a m e > S t a t i c M e t a d a t a < / N a m e >  
     < V a l u e > { " o r i g i n " : " T e g u s " } < / V a l u e >  
 < / C u s t o m X M L O b j e c t > 
</file>

<file path=customXml/itemProps1.xml><?xml version="1.0" encoding="utf-8"?>
<ds:datastoreItem xmlns:ds="http://schemas.openxmlformats.org/officeDocument/2006/customXml" ds:itemID="{6394A854-63CE-4DC8-9970-8672C904124E}">
  <ds:schemaRefs>
    <ds:schemaRef ds:uri="http://www.w3.org/2001/XMLSchema"/>
  </ds:schemaRefs>
</ds:datastoreItem>
</file>

<file path=customXml/itemProps2.xml><?xml version="1.0" encoding="utf-8"?>
<ds:datastoreItem xmlns:ds="http://schemas.openxmlformats.org/officeDocument/2006/customXml" ds:itemID="{7D6DD8A8-7119-41D9-ABF3-B933D9306EA1}">
  <ds:schemaRefs>
    <ds:schemaRef ds:uri="http://www.w3.org/2001/XMLSchema"/>
  </ds:schemaRefs>
</ds:datastoreItem>
</file>

<file path=docProps/app.xml><?xml version="1.0" encoding="utf-8"?>
<Properties xmlns="http://schemas.openxmlformats.org/officeDocument/2006/extended-properties" xmlns:vt="http://schemas.openxmlformats.org/officeDocument/2006/docPropsVTypes">
  <Application>Microsoft Excel</Application>
  <AppVersion>16.0300</AppVersion>
  <DocSecurity>0</DocSecurity>
  <ScaleCrop>false</ScaleCrop>
  <HeadingPairs>
    <vt:vector size="2" baseType="variant">
      <vt:variant>
        <vt:lpstr>Worksheets</vt:lpstr>
      </vt:variant>
      <vt:variant>
        <vt:i4>5</vt:i4>
      </vt:variant>
    </vt:vector>
  </HeadingPairs>
  <TitlesOfParts>
    <vt:vector size="5" baseType="lpstr">
      <vt:lpstr>Front Page</vt:lpstr>
      <vt:lpstr>Model</vt:lpstr>
      <vt:lpstr>Guidance</vt:lpstr>
      <vt:lpstr>Summary Page</vt:lpstr>
      <vt:lpstr>Update Log</vt:lpstr>
    </vt:vector>
  </TitlesOfParts>
  <Template/>
  <Manager/>
  <Company/>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Canalyst</dc:creator>
  <cp:keywords/>
  <dc:description/>
  <cp:lastModifiedBy>Tegus (SBM)</cp:lastModifiedBy>
  <cp:lastPrinted>2016-04-29T05:43:54Z</cp:lastPrinted>
  <dcterms:created xsi:type="dcterms:W3CDTF">2016-04-22T21:21:10Z</dcterms:created>
  <dcterms:modified xsi:type="dcterms:W3CDTF">2024-11-05T20:39:40Z</dcterms:modified>
  <cp:category/>
</cp:coreProperties>
</file>